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arv\Desktop\"/>
    </mc:Choice>
  </mc:AlternateContent>
  <xr:revisionPtr revIDLastSave="0" documentId="13_ncr:1_{9EE0B3C6-3079-4ACC-ADF5-5D456C110C3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Luz &amp; Gás (EDP)" sheetId="6" r:id="rId1"/>
    <sheet name="Água &amp; MEO" sheetId="7" r:id="rId2"/>
    <sheet name="Santander &amp; Condomínio" sheetId="10" r:id="rId3"/>
    <sheet name="Supermercado &amp; 308 &amp; Overall" sheetId="11" r:id="rId4"/>
    <sheet name="TOTAL" sheetId="9" r:id="rId5"/>
  </sheets>
  <definedNames>
    <definedName name="_xlnm._FilterDatabase" localSheetId="1" hidden="1">'Água &amp; MEO'!#REF!</definedName>
    <definedName name="_xlnm._FilterDatabase" localSheetId="0" hidden="1">'Luz &amp; Gás (EDP)'!#REF!</definedName>
    <definedName name="_xlnm._FilterDatabase" localSheetId="2" hidden="1">'Santander &amp; Condomínio'!#REF!</definedName>
    <definedName name="_xlnm._FilterDatabase" localSheetId="3" hidden="1">'Supermercado &amp; 308 &amp; Overall'!#REF!</definedName>
    <definedName name="_xlnm._FilterDatabase" localSheetId="4" hidden="1">TOTAL!#REF!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1" l="1"/>
  <c r="U13" i="11"/>
  <c r="U18" i="11"/>
  <c r="U15" i="11"/>
  <c r="T5" i="9"/>
  <c r="U5" i="9"/>
  <c r="T14" i="11"/>
  <c r="T15" i="11"/>
  <c r="T13" i="11"/>
  <c r="T18" i="11"/>
  <c r="T4" i="11"/>
  <c r="T4" i="9"/>
  <c r="C7" i="10"/>
  <c r="T5" i="11"/>
  <c r="S18" i="11"/>
  <c r="S16" i="11"/>
  <c r="S15" i="11"/>
  <c r="S13" i="11"/>
  <c r="S14" i="11"/>
  <c r="S4" i="9"/>
  <c r="E16" i="11"/>
  <c r="S5" i="9"/>
  <c r="R5" i="9"/>
  <c r="Q5" i="9"/>
  <c r="S5" i="11"/>
  <c r="R15" i="11"/>
  <c r="R4" i="11"/>
  <c r="R18" i="11"/>
  <c r="R4" i="9"/>
  <c r="R12" i="11"/>
  <c r="Q6" i="11"/>
  <c r="R14" i="11"/>
  <c r="Q18" i="11"/>
  <c r="Q12" i="11"/>
  <c r="Q4" i="9"/>
  <c r="Q16" i="11"/>
  <c r="Q14" i="11"/>
  <c r="C18" i="11"/>
  <c r="C12" i="11" l="1"/>
  <c r="Q15" i="11"/>
  <c r="AB15" i="11" l="1"/>
  <c r="V15" i="11"/>
  <c r="W15" i="11"/>
  <c r="X15" i="11"/>
  <c r="Y15" i="11"/>
  <c r="Z15" i="11"/>
  <c r="AA15" i="11"/>
  <c r="Q7" i="11" l="1"/>
  <c r="C7" i="9" s="1"/>
  <c r="R7" i="11"/>
  <c r="D7" i="9" s="1"/>
  <c r="Q19" i="11"/>
  <c r="C8" i="9" s="1"/>
  <c r="R19" i="11"/>
  <c r="D8" i="9" s="1"/>
  <c r="C35" i="11"/>
  <c r="C6" i="9" s="1"/>
  <c r="D35" i="11"/>
  <c r="D6" i="9" s="1"/>
  <c r="Q8" i="7"/>
  <c r="C5" i="9" s="1"/>
  <c r="R8" i="7"/>
  <c r="D5" i="9" s="1"/>
  <c r="C8" i="7"/>
  <c r="C10" i="9" s="1"/>
  <c r="D8" i="7"/>
  <c r="D10" i="9" s="1"/>
  <c r="K6" i="10"/>
  <c r="J6" i="10"/>
  <c r="I6" i="10"/>
  <c r="H6" i="10"/>
  <c r="G6" i="10"/>
  <c r="F6" i="10"/>
  <c r="E6" i="10"/>
  <c r="D6" i="10"/>
  <c r="D8" i="10" s="1"/>
  <c r="D4" i="9" s="1"/>
  <c r="C6" i="10"/>
  <c r="C8" i="10" s="1"/>
  <c r="C4" i="9" s="1"/>
  <c r="C9" i="6"/>
  <c r="C9" i="9" s="1"/>
  <c r="D9" i="6"/>
  <c r="D9" i="9" s="1"/>
  <c r="M6" i="10"/>
  <c r="N6" i="10"/>
  <c r="L6" i="10"/>
  <c r="Y8" i="7"/>
  <c r="W8" i="7"/>
  <c r="S8" i="7"/>
  <c r="T8" i="7"/>
  <c r="U8" i="7"/>
  <c r="AB8" i="7"/>
  <c r="AA8" i="7"/>
  <c r="Z8" i="7"/>
  <c r="X8" i="7"/>
  <c r="V8" i="7"/>
  <c r="D11" i="9" l="1"/>
  <c r="C11" i="9"/>
  <c r="Z19" i="11"/>
  <c r="R6" i="9" l="1"/>
  <c r="R7" i="9" s="1"/>
  <c r="Q6" i="9"/>
  <c r="Q7" i="9" s="1"/>
  <c r="S7" i="11"/>
  <c r="R8" i="9" l="1"/>
  <c r="S19" i="11"/>
  <c r="E8" i="9" s="1"/>
  <c r="F8" i="7" l="1"/>
  <c r="G8" i="7"/>
  <c r="H8" i="7"/>
  <c r="I8" i="7"/>
  <c r="J8" i="7"/>
  <c r="K8" i="7"/>
  <c r="L8" i="7"/>
  <c r="M8" i="7"/>
  <c r="N8" i="7"/>
  <c r="E8" i="7"/>
  <c r="T7" i="11"/>
  <c r="U7" i="11"/>
  <c r="V7" i="11"/>
  <c r="W7" i="11"/>
  <c r="X7" i="11"/>
  <c r="Y7" i="11"/>
  <c r="Z7" i="11"/>
  <c r="AA7" i="11"/>
  <c r="AB7" i="11"/>
  <c r="T19" i="11" l="1"/>
  <c r="F35" i="11" l="1"/>
  <c r="G35" i="11"/>
  <c r="H35" i="11"/>
  <c r="I35" i="11"/>
  <c r="J35" i="11"/>
  <c r="K35" i="11"/>
  <c r="L35" i="11"/>
  <c r="M35" i="11"/>
  <c r="N35" i="11"/>
  <c r="E35" i="11"/>
  <c r="U19" i="11"/>
  <c r="V19" i="11"/>
  <c r="W19" i="11"/>
  <c r="X19" i="11"/>
  <c r="Y19" i="11"/>
  <c r="AA19" i="11"/>
  <c r="AB19" i="11"/>
  <c r="E5" i="9" l="1"/>
  <c r="E10" i="9"/>
  <c r="F8" i="10"/>
  <c r="F4" i="9" s="1"/>
  <c r="G8" i="10"/>
  <c r="G4" i="9" s="1"/>
  <c r="H8" i="10"/>
  <c r="H4" i="9" s="1"/>
  <c r="I8" i="10"/>
  <c r="I4" i="9" s="1"/>
  <c r="J8" i="10"/>
  <c r="J4" i="9" s="1"/>
  <c r="K8" i="10"/>
  <c r="K4" i="9" s="1"/>
  <c r="L8" i="10"/>
  <c r="L4" i="9" s="1"/>
  <c r="M8" i="10"/>
  <c r="M4" i="9" s="1"/>
  <c r="N8" i="10"/>
  <c r="N4" i="9" s="1"/>
  <c r="E8" i="10"/>
  <c r="E4" i="9" s="1"/>
  <c r="L8" i="9"/>
  <c r="M8" i="9"/>
  <c r="N8" i="9"/>
  <c r="K8" i="9"/>
  <c r="J8" i="9"/>
  <c r="I8" i="9"/>
  <c r="H8" i="9"/>
  <c r="G8" i="9"/>
  <c r="F8" i="9"/>
  <c r="N7" i="9"/>
  <c r="M7" i="9"/>
  <c r="L7" i="9"/>
  <c r="K7" i="9"/>
  <c r="J7" i="9"/>
  <c r="I7" i="9"/>
  <c r="H7" i="9"/>
  <c r="G7" i="9"/>
  <c r="F7" i="9"/>
  <c r="E7" i="9"/>
  <c r="G6" i="9" l="1"/>
  <c r="H6" i="9"/>
  <c r="I6" i="9"/>
  <c r="K6" i="9"/>
  <c r="L6" i="9"/>
  <c r="M6" i="9"/>
  <c r="E6" i="9"/>
  <c r="F6" i="9"/>
  <c r="J6" i="9"/>
  <c r="N6" i="9"/>
  <c r="H10" i="9"/>
  <c r="K10" i="9"/>
  <c r="L10" i="9"/>
  <c r="H5" i="9"/>
  <c r="I5" i="9"/>
  <c r="J5" i="9"/>
  <c r="N5" i="9"/>
  <c r="M5" i="9"/>
  <c r="L5" i="9"/>
  <c r="K5" i="9"/>
  <c r="G5" i="9"/>
  <c r="F5" i="9"/>
  <c r="F10" i="9"/>
  <c r="N10" i="9"/>
  <c r="M10" i="9"/>
  <c r="J10" i="9"/>
  <c r="I10" i="9"/>
  <c r="G10" i="9"/>
  <c r="F9" i="6"/>
  <c r="F9" i="9" s="1"/>
  <c r="G9" i="6"/>
  <c r="G9" i="9" s="1"/>
  <c r="H9" i="6"/>
  <c r="H9" i="9" s="1"/>
  <c r="I9" i="6"/>
  <c r="I9" i="9" s="1"/>
  <c r="J9" i="6"/>
  <c r="J9" i="9" s="1"/>
  <c r="K9" i="6"/>
  <c r="K9" i="9" s="1"/>
  <c r="L9" i="6"/>
  <c r="L9" i="9" s="1"/>
  <c r="M9" i="6"/>
  <c r="M9" i="9" s="1"/>
  <c r="N9" i="6"/>
  <c r="N9" i="9" s="1"/>
  <c r="E9" i="6"/>
  <c r="E9" i="9" s="1"/>
  <c r="E11" i="9" l="1"/>
  <c r="S6" i="9" s="1"/>
  <c r="J11" i="9"/>
  <c r="X6" i="9" s="1"/>
  <c r="K11" i="9"/>
  <c r="I11" i="9"/>
  <c r="M11" i="9"/>
  <c r="G11" i="9"/>
  <c r="L11" i="9"/>
  <c r="Z6" i="9" s="1"/>
  <c r="H11" i="9"/>
  <c r="F11" i="9"/>
  <c r="T6" i="9" s="1"/>
  <c r="N11" i="9"/>
  <c r="V6" i="9" l="1"/>
  <c r="V7" i="9" s="1"/>
  <c r="U6" i="9"/>
  <c r="U7" i="9" s="1"/>
  <c r="AA6" i="9"/>
  <c r="AA7" i="9" s="1"/>
  <c r="Y6" i="9"/>
  <c r="Y7" i="9" s="1"/>
  <c r="AB6" i="9"/>
  <c r="AB7" i="9" s="1"/>
  <c r="W6" i="9"/>
  <c r="W7" i="9" s="1"/>
  <c r="S7" i="9"/>
  <c r="S8" i="9" s="1"/>
  <c r="Z7" i="9"/>
  <c r="X7" i="9"/>
  <c r="T7" i="9"/>
  <c r="T8" i="9" l="1"/>
  <c r="U8" i="9" s="1"/>
  <c r="V8" i="9" s="1"/>
  <c r="W8" i="9" s="1"/>
  <c r="X8" i="9" s="1"/>
  <c r="Y8" i="9" s="1"/>
  <c r="Z8" i="9" s="1"/>
  <c r="AA8" i="9" s="1"/>
  <c r="AB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tc={C0CC519E-B458-4F81-A0EC-65B4642B7E01}</author>
    <author>tc={1281F394-C372-4621-8038-C04718702CA8}</author>
    <author>tc={E3D7266B-ADD5-42E4-A3A2-AF09F9FFD05A}</author>
    <author>tc={7EECC9DB-DB00-4225-A233-C913008358C5}</author>
    <author>tc={36C7E640-16A7-4B9F-A994-D75403F7428E}</author>
    <author>tc={5F9E5B71-1C26-467E-985F-9383006A8C0B}</author>
    <author>tc={1F16C7E0-9C41-43E5-AC86-3ED08153A0B2}</author>
    <author>tc={5636C23D-B6D1-4FFD-8E30-E917E89ECB4A}</author>
  </authors>
  <commentList>
    <comment ref="R4" authorId="0" shapeId="0" xr:uid="{C0CC519E-B458-4F81-A0EC-65B4642B7E0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BTV 9.90€
Meo VídeoClube 5€</t>
      </text>
    </comment>
    <comment ref="P6" authorId="1" shapeId="0" xr:uid="{1281F394-C372-4621-8038-C04718702CA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Pago através da CTW -&gt; 7.5€ + IVA = 9.23€</t>
      </text>
    </comment>
    <comment ref="S6" authorId="2" shapeId="0" xr:uid="{E3D7266B-ADD5-42E4-A3A2-AF09F9FFD05A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Tarifário Meu + Mãe</t>
      </text>
    </comment>
    <comment ref="T6" authorId="3" shapeId="0" xr:uid="{7EECC9DB-DB00-4225-A233-C913008358C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Extra - Problemas c/MEO Mãe
Fatura Total - 72.46€</t>
      </text>
    </comment>
    <comment ref="Q7" authorId="4" shapeId="0" xr:uid="{36C7E640-16A7-4B9F-A994-D75403F7428E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9.01
NetFlix (6 meses) 24€</t>
      </text>
    </comment>
    <comment ref="S7" authorId="5" shapeId="0" xr:uid="{5F9E5B71-1C26-467E-985F-9383006A8C0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10.03
F1TV - 5.99€</t>
      </text>
    </comment>
    <comment ref="T7" authorId="6" shapeId="0" xr:uid="{1F16C7E0-9C41-43E5-AC86-3ED08153A0B2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22.04
F1TV - 5.99€</t>
      </text>
    </comment>
    <comment ref="H8" authorId="7" shapeId="0" xr:uid="{5636C23D-B6D1-4FFD-8E30-E917E89ECB4A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Fatura mais baixa por acerto dos 2 primeiros meses do ano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tc={777E73F0-B6A1-4BB5-8FB3-CAB431553D04}</author>
  </authors>
  <commentList>
    <comment ref="C7" authorId="0" shapeId="0" xr:uid="{777E73F0-B6A1-4BB5-8FB3-CAB431553D0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Troca da CRC para RMC
38.41€ -&gt; 42.9€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tc={DC5C9103-A3B2-4AD1-BF3F-2CD953114FC3}</author>
    <author>tc={9BDBE854-AF72-4DEA-8858-4CC7339FD964}</author>
    <author>tc={83E40461-1595-492B-847E-115C27190852}</author>
    <author>tc={3E5FBF9E-7463-4D77-BF43-E5412B21F9AB}</author>
    <author>tc={64F185A7-01C6-4B65-9A4C-6ED30B40ABC6}</author>
    <author>tc={F6B91984-4967-41DA-947C-1B6867F6DF87}</author>
    <author>tc={4F42E841-78C5-409F-807D-2B016C92D9A4}</author>
    <author>tc={433445E0-4D12-40F0-97B3-86B43282A6A3}</author>
    <author>tc={DA090E59-BF67-404D-8AF3-4436E871F71F}</author>
    <author>tc={8D24CE1A-D9A6-402B-8989-026A6C034C94}</author>
    <author>tc={9940B8EF-E4F3-4B74-933E-30E432ADF22B}</author>
    <author>tc={CA8DD2DE-AE80-46BB-83C8-4448898AE09F}</author>
    <author>tc={C70E3179-0D81-46BC-A4F3-06F59CA4D7A3}</author>
    <author>tc={39F39976-319B-48AC-B449-58AA5DBACF73}</author>
    <author>tc={C55B0FDC-8EF9-4D4A-8A25-4F958C36D0B9}</author>
    <author>tc={3E532B98-727A-4BFA-82FF-F36DDC00664D}</author>
    <author>tc={51CF2BDB-7F13-4E56-AD4F-2777DC2D8711}</author>
    <author>tc={46B7DAE9-FB76-4CEB-9A46-1C13687A89CF}</author>
    <author>tc={382CD8A3-CAE9-4478-ABD3-349B34117973}</author>
    <author>tc={229A51B8-D83C-42ED-B4DD-B725A18E3603}</author>
    <author>tc={62C950A1-34BD-478F-A26D-E55A1F1C9603}</author>
    <author>tc={CF3EAADC-F350-45CE-86C7-5C7CC715AC05}</author>
    <author>tc={37EA4799-DBAA-478C-9522-AA4923D6751F}</author>
    <author>tc={33E35B1E-7D98-4FE3-893D-902D7CA9BEDA}</author>
    <author>tc={A4E84F6A-BAFD-4360-B7C1-6854E0EE915D}</author>
    <author>tc={B0B4D9D4-4ADD-460A-A2DB-FA32AE733C78}</author>
    <author>tc={B71DD9E0-70A6-4226-87AE-B46B556EC73B}</author>
    <author>tc={3D3E1A87-6A96-47BF-9471-4A56949C33C8}</author>
    <author>tc={C928CF53-BE8D-48F8-A3F2-08F8F140E4BC}</author>
    <author>tc={99BF2972-6336-45C2-AD9F-BBA0B7804231}</author>
    <author>tc={1A631441-6612-4004-91BC-324801AD4A56}</author>
    <author>tc={EFBAAFF4-E1C0-4B72-8AF9-E43F4CEF8C1C}</author>
    <author>tc={9B11CC17-CC65-48B6-98FF-BB2AF4074D5C}</author>
    <author>tc={3347CCF5-2885-45F4-8B2B-78E9E014928F}</author>
    <author>tc={27F460FC-4D42-4D7C-A75B-A293D0CB5D68}</author>
    <author>tc={A7713482-39FD-4758-B11A-90FC630245EB}</author>
    <author>tc={B17B21BB-92D9-42DD-ACEF-0D1A24527D43}</author>
    <author>tc={F576DD7B-E2FE-4185-A300-14524914DC55}</author>
    <author>tc={7C9E7E2F-09E1-4F83-BDAC-DFF6A13F0A05}</author>
    <author>tc={048BF275-F40A-4F80-8576-C4111B7660C7}</author>
    <author>tc={47EFD7C9-0274-4C20-91DE-0CC5A20B1AA6}</author>
    <author>tc={A0CA4424-4454-4FFF-A380-5996561577D4}</author>
    <author>tc={3A99EDA9-DA50-4968-9B77-9217D814C9C7}</author>
    <author>tc={065878F5-569A-41AF-963F-37AFAC01BA55}</author>
    <author>tc={3583292A-BD57-4947-8209-BF8B634DBB01}</author>
    <author>tc={7D2836C5-FC5A-4B59-9EAE-37DD3E330BAD}</author>
    <author>tc={A5CECF40-6287-409D-88FB-80F4686AD42C}</author>
    <author>tc={193EA70C-26FB-49A3-A5D1-CBD608E86B21}</author>
    <author>tc={A31ECC6C-C4A4-4FE2-831D-8E1C26FE9596}</author>
    <author>tc={759E56AF-19E7-4EF8-ABD4-40614B61BE2C}</author>
    <author>tc={73CAB3F1-C4EC-4404-A4D9-832D322BB1A6}</author>
    <author>tc={86F25295-C685-4FFA-9FA3-DBFEE3E0C1D5}</author>
    <author>tc={563F1ACA-F70B-46C0-960D-EDF43DBB9E92}</author>
    <author>tc={0905947D-8804-4831-8977-9280F84C9BBA}</author>
  </authors>
  <commentList>
    <comment ref="U4" authorId="0" shapeId="0" xr:uid="{DC5C9103-A3B2-4AD1-BF3F-2CD953114FC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BMW</t>
      </text>
    </comment>
    <comment ref="C5" authorId="1" shapeId="0" xr:uid="{9BDBE854-AF72-4DEA-8858-4CC7339FD96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(Pão)</t>
      </text>
    </comment>
    <comment ref="E5" authorId="2" shapeId="0" xr:uid="{83E40461-1595-492B-847E-115C27190852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Atum; Bróculo; Couve-flor; Fruta; Massa; Pão; Curitas; Patê</t>
      </text>
    </comment>
    <comment ref="S5" authorId="3" shapeId="0" xr:uid="{3E5FBF9E-7463-4D77-BF43-E5412B21F9A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Seguro Zurich (Abril 2022) - 25.07€
Resposta:
    3.03
Lavagem Interior+Exterior Clio 5.45€
Resposta:
    4.03
ACP (Cota anual) 68€
Resposta:
    4.03
Lavagem exterior 2€</t>
      </text>
    </comment>
    <comment ref="T5" authorId="4" shapeId="0" xr:uid="{64F185A7-01C6-4B65-9A4C-6ED30B40ABC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Seguro Zurich - 25.07€
Resposta:
    3.04
Lavagem Interior+Exterior 3.5€</t>
      </text>
    </comment>
    <comment ref="Q6" authorId="5" shapeId="0" xr:uid="{F6B91984-4967-41DA-947C-1B6867F6DF8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14.01
Gamobar (Adblue) - 48.98€</t>
      </text>
    </comment>
    <comment ref="U6" authorId="6" shapeId="0" xr:uid="{4F42E841-78C5-409F-807D-2B016C92D9A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5.05
IUC Série 1 - 224.94€</t>
      </text>
    </comment>
    <comment ref="C7" authorId="7" shapeId="0" xr:uid="{433445E0-4D12-40F0-97B3-86B43282A6A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LIDL
Atum; Laranjas; Carne picada; Batata Frita; Palmiers</t>
      </text>
    </comment>
    <comment ref="G7" authorId="8" shapeId="0" xr:uid="{DA090E59-BF67-404D-8AF3-4436E871F71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Pão</t>
      </text>
    </comment>
    <comment ref="F9" authorId="9" shapeId="0" xr:uid="{8D24CE1A-D9A6-402B-8989-026A6C034C9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Salsichas Aves; Espanador; Batatas Fritas; Cenoura; Pão; Café; Queijo; Curitas; Leite x12</t>
      </text>
    </comment>
    <comment ref="G10" authorId="10" shapeId="0" xr:uid="{9940B8EF-E4F3-4B74-933E-30E432ADF22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 (Desconto 10.25€)
Iogurtes; Ovos; Fruta; Pão Girassol; Pleno; Máscaras; Salmão; Hamburgueres; Bróculo; Couve Flor; Chocolate Milka; Muesli; Bolachas Pro-alimentar</t>
      </text>
    </comment>
    <comment ref="S11" authorId="11" shapeId="0" xr:uid="{CA8DD2DE-AE80-46BB-83C8-4448898AE09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29.03
Impressora - 75.9€</t>
      </text>
    </comment>
    <comment ref="C12" authorId="12" shapeId="0" xr:uid="{C70E3179-0D81-46BC-A4F3-06F59CA4D7A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1.3€
Resposta:
    LIDL
Leite; Queijo; Bróculos; Couve Flor; Cenouras, Fruta; Sacos Lixo; Gel banho; Manteiga</t>
      </text>
    </comment>
    <comment ref="F12" authorId="13" shapeId="0" xr:uid="{39F39976-319B-48AC-B449-58AA5DBACF7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Salmão</t>
      </text>
    </comment>
    <comment ref="Q12" authorId="14" shapeId="0" xr:uid="{C55B0FDC-8EF9-4D4A-8A25-4F958C36D0B9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Racket City (Padel)
Sapatilhas HEAD 90€
Racket HEAD Delta 115€
Resposta:
    8.01
Cuecas Intimissimi (50%Desc) 38.7€
Resposta:
    26.01
Billabong (Desconto 20%) 
2 T-Shirts
48€</t>
      </text>
    </comment>
    <comment ref="R12" authorId="15" shapeId="0" xr:uid="{3E532B98-727A-4BFA-82FF-F36DDC00664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24.02
Telemóvel Mãe 32.5€</t>
      </text>
    </comment>
    <comment ref="T12" authorId="16" shapeId="0" xr:uid="{51CF2BDB-7F13-4E56-AD4F-2777DC2D871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Adidas
Stan Smith - 100€</t>
      </text>
    </comment>
    <comment ref="E13" authorId="17" shapeId="0" xr:uid="{46B7DAE9-FB76-4CEB-9A46-1C13687A89C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Douradinhos Frango; Queijo; Pão brioche; Patê; Atum; Nestum; Detergente WC; Ambientador WC; Batata frita; Guardanapos; M&amp;Ms</t>
      </text>
    </comment>
    <comment ref="F13" authorId="18" shapeId="0" xr:uid="{382CD8A3-CAE9-4478-ABD3-349B3411797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(Regueifa)</t>
      </text>
    </comment>
    <comment ref="S13" authorId="19" shapeId="0" xr:uid="{229A51B8-D83C-42ED-B4DD-B725A18E360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3.03
Jantar Migu 15.8€ (Tourigalo)
Resposta:
    17.03
Almoço Susana Coach - 22.3€
Resposta:
    19.03
Concerto CCOP -10€
Resposta:
    29.03
Jantar Ex-B*osch team - 15.17€</t>
      </text>
    </comment>
    <comment ref="T13" authorId="20" shapeId="0" xr:uid="{62C950A1-34BD-478F-A26D-E55A1F1C960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2.04
Restaurante A Cabana (Apúlia) - Aniv Mãe
69.6€
Resposta:
    8.04
Cinema + Pipocas (5.25+4.9€)
Resposta:
    16.04
Almoço "Juventude de Ouro" - 9€
Resposta:
    22.04
Jantar Café Neiza - 10€
Resposta:
    24.04
Almoço Leiria - 50.20€
Resposta:
    28.04
Jantar Leiria - 10.95€
Resposta:
    29.04
Almoço + Jantar (Portel) - 13+19€
Resposta:
    30.04
Almoço Portel - 12.5€</t>
      </text>
    </comment>
    <comment ref="U13" authorId="21" shapeId="0" xr:uid="{CF3EAADC-F350-45CE-86C7-5C7CC715AC0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7.05
Almoço c/Mãe (Cabana - Apúlia) - 39.05€
Resposta:
    10.05
Café Marina do Freixo 4.2€</t>
      </text>
    </comment>
    <comment ref="Q14" authorId="22" shapeId="0" xr:uid="{37EA4799-DBAA-478C-9522-AA4923D6751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13.01
DeGema 9.95€</t>
      </text>
    </comment>
    <comment ref="R14" authorId="23" shapeId="0" xr:uid="{33E35B1E-7D98-4FE3-893D-902D7CA9BEDA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01.02 - CSW
Almoço (10€) + Café (0.35€)</t>
      </text>
    </comment>
    <comment ref="S14" authorId="24" shapeId="0" xr:uid="{A4E84F6A-BAFD-4360-B7C1-6854E0EE915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15.03
CSW - Almoço + Café (10.7€)
Resposta:
    28.03
CSW - Almoço 15€</t>
      </text>
    </comment>
    <comment ref="T14" authorId="25" shapeId="0" xr:uid="{B0B4D9D4-4ADD-460A-A2DB-FA32AE733C7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8.04
Almoço CTW (Conga) - 10.6€
Resposta:
    13.04
Almoço CTW (Bonche) - 13.4€
Resposta:
    18.04
Café + Almoço CTW - 0.3+7.5€
Resposta:
    22.04
Peq Almoço (CSW) - 4.80€
Almoço (CSW) - 10€
Snack (Kit-Kat+Coca) - 0.75+0.95€</t>
      </text>
    </comment>
    <comment ref="U14" authorId="26" shapeId="0" xr:uid="{B71DD9E0-70A6-4226-87AE-B46B556EC73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3.05
CTW - Almoço+Garrafa Água (0.4+8.5€)
Resposta:
    6.05
Almoço CTW - 10€
Resposta:
    10.05
Almoço CTW - 8.5€</t>
      </text>
    </comment>
    <comment ref="E15" authorId="27" shapeId="0" xr:uid="{3D3E1A87-6A96-47BF-9471-4A56949C33C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Rainha da Foz (Pão + Fiambre)</t>
      </text>
    </comment>
    <comment ref="F15" authorId="28" shapeId="0" xr:uid="{C928CF53-BE8D-48F8-A3F2-08F8F140E4B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Iogurtes; Recargas espanador; Patê; Batatas; Lenços papel; Douradinhos; Sacos Lixo; Pleno; Belgas; Bolachas crackers</t>
      </text>
    </comment>
    <comment ref="Q15" authorId="29" shapeId="0" xr:uid="{99BF2972-6336-45C2-AD9F-BBA0B780423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8.01
Revista "Carros" 1.5€</t>
      </text>
    </comment>
    <comment ref="R15" authorId="30" shapeId="0" xr:uid="{1A631441-6612-4004-91BC-324801AD4A5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2.02
JSC (Euromilhões) 10.67€
Resposta:
    24.02
Inspeção Gás Mãe 60€
Resposta:
    SMAS Mãe Fevereiro 16.22€</t>
      </text>
    </comment>
    <comment ref="S15" authorId="31" shapeId="0" xr:uid="{EFBAAFF4-E1C0-4B72-8AF9-E43F4CEF8C1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Jazigo Pai - 90€
Resposta:
    Missa Mês Pai - 12€
Resposta:
    11.03
Estacionamento Fisio - 0.8€
Resposta:
    19.03
Flores Pai -10€
Resposta:
    26.03
Bola Taça Barqueiros 17€
Resposta:
    30.03
Velas - 20€</t>
      </text>
    </comment>
    <comment ref="T15" authorId="32" shapeId="0" xr:uid="{9B11CC17-CC65-48B6-98FF-BB2AF4074D5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2.04
Flores Mãe 25€
Resposta:
    14.04
JSC (Euromilhões) - 15.32€
Resposta:
    26.04
Bola Minigolfe "Big Shoot" - 22€
Resposta:
    1.05
Cartão FNAC 15€</t>
      </text>
    </comment>
    <comment ref="U15" authorId="33" shapeId="0" xr:uid="{3347CCF5-2885-45F4-8B2B-78E9E014928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3.05
Velas 6.5€
Resposta:
    7.05
Velas 11€ (Caixa)
Resposta:
    8.05
Revista Carros 1.5€</t>
      </text>
    </comment>
    <comment ref="E16" authorId="34" shapeId="0" xr:uid="{27F460FC-4D42-4D7C-A75B-A293D0CB5D6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Pão Girassol; Arroz; Fruta; Bolachas; Lombinhos Frango; Ovos</t>
      </text>
    </comment>
    <comment ref="Q16" authorId="35" shapeId="0" xr:uid="{A7713482-39FD-4758-B11A-90FC630245EB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12.01
Farmácia - Saco Gel Nexacare 13.88€
Resposta:
    18.01
Consulta Physis 15€</t>
      </text>
    </comment>
    <comment ref="S16" authorId="36" shapeId="0" xr:uid="{B17B21BB-92D9-42DD-ACEF-0D1A24527D4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3.03
Medicamentos Tia Fátima 6.37€
Resposta:
    9.03
Fisio (Tratamentos +2ª Consulta) - 30,12€
Resposta:
    30.03
Fisio (Tratamentos +3ª Consulta) - 30,12€
Resposta:
    31.03
Hospital da Luz - Ecografia Joelho 12.5€</t>
      </text>
    </comment>
    <comment ref="S17" authorId="37" shapeId="0" xr:uid="{F576DD7B-E2FE-4185-A300-14524914DC5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18.03
Livros Sinek - 28.8€
"Start with why"
"O jogo infinito"</t>
      </text>
    </comment>
    <comment ref="C18" authorId="38" shapeId="0" xr:uid="{7C9E7E2F-09E1-4F83-BDAC-DFF6A13F0A0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LIDL - 10.76€
Fruta; Pão; Bróculo; Ovos; Hamburgueres novilhos;
Resposta:
    Continente - 27,69€
Patê Atum; Vinagre Balsâmico; Salsichas Aves; Batata Frita; Pleno; Esfregões Vileda; Massa Cotovelos; Perca; Salmão; Cápsulas Café</t>
      </text>
    </comment>
    <comment ref="C19" authorId="39" shapeId="0" xr:uid="{048BF275-F40A-4F80-8576-C4111B7660C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(Pão)</t>
      </text>
    </comment>
    <comment ref="C22" authorId="40" shapeId="0" xr:uid="{47EFD7C9-0274-4C20-91DE-0CC5A20B1AA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Delicias do Mar; Queijo; Limões; Bróculos; Couve Flor; Chá; Batata Frita; Salsicha Aves; Polpa Tomate; Iogurtes; Pão Brioche</t>
      </text>
    </comment>
    <comment ref="E22" authorId="41" shapeId="0" xr:uid="{A0CA4424-4454-4FFF-A380-5996561577D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Rainha da Foz (Pão + Fiambre)</t>
      </text>
    </comment>
    <comment ref="F22" authorId="42" shapeId="0" xr:uid="{3A99EDA9-DA50-4968-9B77-9217D814C9C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Pão</t>
      </text>
    </comment>
    <comment ref="E23" authorId="43" shapeId="0" xr:uid="{065878F5-569A-41AF-963F-37AFAC01BA5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(Regueifa)</t>
      </text>
    </comment>
    <comment ref="E25" authorId="44" shapeId="0" xr:uid="{3583292A-BD57-4947-8209-BF8B634DBB0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Recheio</t>
      </text>
    </comment>
    <comment ref="C26" authorId="45" shapeId="0" xr:uid="{7D2836C5-FC5A-4B59-9EAE-37DD3E330BA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Pão</t>
      </text>
    </comment>
    <comment ref="C27" authorId="46" shapeId="0" xr:uid="{A5CECF40-6287-409D-88FB-80F4686AD42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Leite; Fruta; Filtros Máq. Café; Batata Frita; Pleno; Queijo; Rolo Cozinha</t>
      </text>
    </comment>
    <comment ref="D27" authorId="47" shapeId="0" xr:uid="{193EA70C-26FB-49A3-A5D1-CBD608E86B2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Douradinhos; Salmão; Abacaxi; Papel Higiénico; Rolo Cozinha; Pão; Manteiga; Pão Leite; Iogurtes; Açucar; Esparguete</t>
      </text>
    </comment>
    <comment ref="D29" authorId="48" shapeId="0" xr:uid="{A31ECC6C-C4A4-4FE2-831D-8E1C26FE959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Pão; Carne (Entrecosto, Salsichas, Peru)</t>
      </text>
    </comment>
    <comment ref="E29" authorId="49" shapeId="0" xr:uid="{759E56AF-19E7-4EF8-ABD4-40614B61BE2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Rainha da Foz</t>
      </text>
    </comment>
    <comment ref="F29" authorId="50" shapeId="0" xr:uid="{73CAB3F1-C4EC-4404-A4D9-832D322BB1A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Salsichas; Batatas Fritas; Leite (6+6 Mãe) ; Papel Higiénico (12+12 Mãe) ; Atum (2+3 Mãe) ; Pão Brioche ; Pão Girassol; Nestum; Bolachas; Patê</t>
      </text>
    </comment>
    <comment ref="C32" authorId="51" shapeId="0" xr:uid="{86F25295-C685-4FFA-9FA3-DBFEE3E0C1D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Pão Brioche; Laranjas; Azeite; Água; Batata Frita; Óleo; Patê; Iogurtes; Shampoo; Esparguete; Pão; Cenouras</t>
      </text>
    </comment>
    <comment ref="C33" authorId="52" shapeId="0" xr:uid="{563F1ACA-F70B-46C0-960D-EDF43DBB9E92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Vermoinho (Pão)</t>
      </text>
    </comment>
    <comment ref="E34" authorId="53" shapeId="0" xr:uid="{0905947D-8804-4831-8977-9280F84C9BBA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Continente
Brócolo; Couve-flor; Cenouras; Pate; Batatas fritas; Salsichas; Pão de leite; Desinfectante mãos; Creme Nivea; Atum; Pleno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tc={98ED3420-4141-4B3B-99F5-28889EA1755D}</author>
    <author>tc={9DD58A29-EBEC-4068-BCF1-745626330694}</author>
    <author>tc={15A395E2-5692-452C-B537-A07360194F97}</author>
    <author>tc={C6879A79-3F44-4AFC-B367-5517DFA5D1E5}</author>
    <author>tc={AA2FDAD4-AE26-4A95-8EE0-A890BA469745}</author>
    <author>tc={F00375AA-8F9C-4762-A7A3-CB41B3FA8264}</author>
  </authors>
  <commentList>
    <comment ref="Q5" authorId="0" shapeId="0" xr:uid="{98ED3420-4141-4B3B-99F5-28889EA1755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Via Verde -&gt; 6.45€
Resposta:
    19.01
Aniversário Pais - 200€
Resposta:
    "Reembolso" Concerto Bryan Adams
30€
Resposta:
    IVaucher 5€</t>
      </text>
    </comment>
    <comment ref="R5" authorId="1" shapeId="0" xr:uid="{9DD58A29-EBEC-4068-BCF1-74562633069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Via Verde - 7€
Resposta:
    IVaucher 5€</t>
      </text>
    </comment>
    <comment ref="S5" authorId="2" shapeId="0" xr:uid="{15A395E2-5692-452C-B537-A07360194F97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Via Verde - 16.65€
Resposta:
    IVaucher 5€
Resposta:
    IVaucher 15€</t>
      </text>
    </comment>
    <comment ref="T5" authorId="3" shapeId="0" xr:uid="{C6879A79-3F44-4AFC-B367-5517DFA5D1E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Via Verde - 11.9€+7.5€
(Alteração contrato)
Resposta:
    IRS 2022 - 479.27€
Resposta:
    IVaucher 20€
Resposta:
    Prémio Bosch 2021 - 828.3€
Resposta:
    30.04
Subsídio CNI Portel - 115€</t>
      </text>
    </comment>
    <comment ref="U5" authorId="4" shapeId="0" xr:uid="{AA2FDAD4-AE26-4A95-8EE0-A890BA469745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Via Verde - 38€</t>
      </text>
    </comment>
    <comment ref="Q8" authorId="5" shapeId="0" xr:uid="{F00375AA-8F9C-4762-A7A3-CB41B3FA8264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SAVINGS 2021</t>
      </text>
    </comment>
  </commentList>
</comments>
</file>

<file path=xl/sharedStrings.xml><?xml version="1.0" encoding="utf-8"?>
<sst xmlns="http://schemas.openxmlformats.org/spreadsheetml/2006/main" count="226" uniqueCount="100">
  <si>
    <t>Março</t>
  </si>
  <si>
    <t>Total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</si>
  <si>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</si>
  <si>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</si>
  <si>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</si>
  <si>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</si>
  <si>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</si>
  <si>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</si>
  <si>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</si>
  <si>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</si>
  <si>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</si>
  <si>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Taxas / Impostos</t>
  </si>
  <si>
    <t>Créditos</t>
  </si>
  <si>
    <t>Preço</t>
  </si>
  <si>
    <t>kWh</t>
  </si>
  <si>
    <t>Mês</t>
  </si>
  <si>
    <t>Electricidade</t>
  </si>
  <si>
    <t>Gás</t>
  </si>
  <si>
    <t>kWh (Vazio)</t>
  </si>
  <si>
    <t>kWh (Fora Vazio)</t>
  </si>
  <si>
    <t>Custos (SMAS)</t>
  </si>
  <si>
    <t>Água</t>
  </si>
  <si>
    <t>Resíduos Sólidos</t>
  </si>
  <si>
    <t>Saneamento</t>
  </si>
  <si>
    <t>IVA+Outros</t>
  </si>
  <si>
    <t>Custos (EDP)</t>
  </si>
  <si>
    <t>M3 Fibra</t>
  </si>
  <si>
    <t>MEO Total (200 canais)</t>
  </si>
  <si>
    <t>SMAS</t>
  </si>
  <si>
    <t>Custos (TOTAL)</t>
  </si>
  <si>
    <t>Seguro Vida</t>
  </si>
  <si>
    <t>Seguro Multirisco + Recheio</t>
  </si>
  <si>
    <t>Condomínio</t>
  </si>
  <si>
    <t>Nota</t>
  </si>
  <si>
    <t>Custos (Banco e Casa)</t>
  </si>
  <si>
    <t>Custos (Supermercado)</t>
  </si>
  <si>
    <t>SUPERMERCADO</t>
  </si>
  <si>
    <t>Vodafone</t>
  </si>
  <si>
    <t>Custos (TELECOMUNICAÇÕES)</t>
  </si>
  <si>
    <t>Combustível</t>
  </si>
  <si>
    <t>Car Care &amp; Others</t>
  </si>
  <si>
    <t>Custos (308)</t>
  </si>
  <si>
    <t>TELECOMUNICAÇÕES</t>
  </si>
  <si>
    <t>CARRO</t>
  </si>
  <si>
    <t>Manutenção &amp; Impostos</t>
  </si>
  <si>
    <t>Compras (CASA)</t>
  </si>
  <si>
    <t>Compras (ROUPA, CALÇADO, ETC.)</t>
  </si>
  <si>
    <t>Saídas (JANTARES, COPOS, ETC.)</t>
  </si>
  <si>
    <t>Outros</t>
  </si>
  <si>
    <t>POUPANÇA</t>
  </si>
  <si>
    <t>Ordenado</t>
  </si>
  <si>
    <t>Savings</t>
  </si>
  <si>
    <t>BANCO E CASA</t>
  </si>
  <si>
    <t>Prestação (c/Comissão)</t>
  </si>
  <si>
    <t>Custos (Overall)</t>
  </si>
  <si>
    <t>OVERALL</t>
  </si>
  <si>
    <t>Geral (Cabeleireiro, etc.)</t>
  </si>
  <si>
    <t>Saúde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</si>
  <si>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</si>
  <si>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</si>
  <si>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</si>
  <si>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</si>
  <si>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</si>
  <si>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</si>
  <si>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</si>
  <si>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</si>
  <si>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</si>
  <si>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</si>
  <si>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</si>
  <si>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</si>
  <si>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</si>
  <si>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</si>
  <si>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</si>
  <si>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</si>
  <si>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</si>
  <si>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</si>
  <si>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</si>
  <si>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</si>
  <si>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</si>
  <si>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</si>
  <si>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</si>
  <si>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</si>
  <si>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</si>
  <si>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</si>
  <si>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</si>
  <si>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</si>
  <si>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</si>
  <si>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</si>
  <si>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</si>
  <si>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EDP (Luz &amp; Gás)</t>
  </si>
  <si>
    <t>SUBTOTAL</t>
  </si>
  <si>
    <t>"Suporte" / Extra</t>
  </si>
  <si>
    <t>Streaming (F1TV, Netflix, etc)</t>
  </si>
  <si>
    <t>Educaçao (Formação, Livros, etc)</t>
  </si>
  <si>
    <t>.</t>
  </si>
  <si>
    <t>Daily food (Peq.Alm/Lanche/etc.)</t>
  </si>
  <si>
    <t>Pagamento ANUAL (2021/22)</t>
  </si>
  <si>
    <t/>
  </si>
  <si>
    <t>Janeiro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</si>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</sst>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8"/>
      <name val="Arial"/>
      <family val="2"/>
    </font>
    <font>
      <b/>
      <sz val="10"/>
      <color theme="1" tint="4.9989318521683403E-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42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ck">
        <color auto="1"/>
      </right>
      <top style="dotted">
        <color auto="1"/>
      </top>
      <bottom/>
      <diagonal/>
    </border>
    <border>
      <left/>
      <right style="medium">
        <color auto="1"/>
      </right>
      <top style="thick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164" fontId="0" fillId="6" borderId="12" xfId="0" applyNumberFormat="1" applyFill="1" applyBorder="1" applyAlignment="1">
      <alignment horizontal="center" vertical="center"/>
    </xf>
    <xf numFmtId="164" fontId="0" fillId="6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6" borderId="12" xfId="0" applyNumberFormat="1" applyFill="1" applyBorder="1" applyAlignment="1">
      <alignment horizontal="center" vertical="center"/>
    </xf>
    <xf numFmtId="165" fontId="0" fillId="6" borderId="13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/>
    </xf>
    <xf numFmtId="165" fontId="0" fillId="6" borderId="15" xfId="0" applyNumberFormat="1" applyFill="1" applyBorder="1" applyAlignment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165" fontId="0" fillId="2" borderId="18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/>
    </xf>
    <xf numFmtId="164" fontId="0" fillId="9" borderId="11" xfId="0" applyNumberFormat="1" applyFill="1" applyBorder="1" applyAlignment="1">
      <alignment horizontal="center" vertical="center"/>
    </xf>
    <xf numFmtId="164" fontId="0" fillId="9" borderId="12" xfId="0" applyNumberFormat="1" applyFill="1" applyBorder="1" applyAlignment="1">
      <alignment horizontal="center" vertical="center"/>
    </xf>
    <xf numFmtId="164" fontId="0" fillId="9" borderId="13" xfId="0" applyNumberFormat="1" applyFill="1" applyBorder="1" applyAlignment="1">
      <alignment horizontal="center" vertical="center"/>
    </xf>
    <xf numFmtId="0" fontId="0" fillId="10" borderId="9" xfId="0" applyFill="1" applyBorder="1" applyAlignment="1">
      <alignment horizontal="left" vertical="center"/>
    </xf>
    <xf numFmtId="164" fontId="0" fillId="10" borderId="14" xfId="0" applyNumberFormat="1" applyFill="1" applyBorder="1" applyAlignment="1">
      <alignment horizontal="center" vertical="center"/>
    </xf>
    <xf numFmtId="164" fontId="0" fillId="10" borderId="15" xfId="0" applyNumberFormat="1" applyFill="1" applyBorder="1" applyAlignment="1">
      <alignment horizontal="center" vertical="center"/>
    </xf>
    <xf numFmtId="164" fontId="0" fillId="10" borderId="16" xfId="0" applyNumberFormat="1" applyFill="1" applyBorder="1" applyAlignment="1">
      <alignment horizontal="center" vertical="center"/>
    </xf>
    <xf numFmtId="0" fontId="0" fillId="11" borderId="9" xfId="0" applyFill="1" applyBorder="1" applyAlignment="1">
      <alignment horizontal="left" vertical="center"/>
    </xf>
    <xf numFmtId="164" fontId="0" fillId="11" borderId="14" xfId="0" applyNumberFormat="1" applyFill="1" applyBorder="1" applyAlignment="1">
      <alignment horizontal="center" vertical="center"/>
    </xf>
    <xf numFmtId="164" fontId="0" fillId="11" borderId="15" xfId="0" applyNumberFormat="1" applyFill="1" applyBorder="1" applyAlignment="1">
      <alignment horizontal="center" vertical="center"/>
    </xf>
    <xf numFmtId="164" fontId="0" fillId="11" borderId="1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164" fontId="0" fillId="13" borderId="14" xfId="0" applyNumberFormat="1" applyFill="1" applyBorder="1" applyAlignment="1">
      <alignment horizontal="center" vertical="center"/>
    </xf>
    <xf numFmtId="164" fontId="0" fillId="13" borderId="16" xfId="0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left" vertical="center"/>
    </xf>
    <xf numFmtId="164" fontId="0" fillId="4" borderId="23" xfId="0" applyNumberFormat="1" applyFill="1" applyBorder="1" applyAlignment="1">
      <alignment horizontal="center" vertical="center"/>
    </xf>
    <xf numFmtId="164" fontId="0" fillId="4" borderId="24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14" borderId="15" xfId="0" applyNumberFormat="1" applyFill="1" applyBorder="1" applyAlignment="1">
      <alignment horizontal="center" vertical="center"/>
    </xf>
    <xf numFmtId="164" fontId="0" fillId="14" borderId="1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4" fontId="0" fillId="9" borderId="25" xfId="0" applyNumberFormat="1" applyFill="1" applyBorder="1" applyAlignment="1">
      <alignment horizontal="center" vertical="center"/>
    </xf>
    <xf numFmtId="164" fontId="0" fillId="10" borderId="26" xfId="0" applyNumberFormat="1" applyFill="1" applyBorder="1" applyAlignment="1">
      <alignment horizontal="center" vertical="center"/>
    </xf>
    <xf numFmtId="164" fontId="0" fillId="11" borderId="26" xfId="0" applyNumberFormat="1" applyFill="1" applyBorder="1" applyAlignment="1">
      <alignment horizontal="center" vertical="center"/>
    </xf>
    <xf numFmtId="164" fontId="0" fillId="4" borderId="27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0" fontId="0" fillId="15" borderId="9" xfId="0" applyFill="1" applyBorder="1" applyAlignment="1">
      <alignment horizontal="left" vertical="center"/>
    </xf>
    <xf numFmtId="164" fontId="0" fillId="15" borderId="26" xfId="0" applyNumberFormat="1" applyFill="1" applyBorder="1" applyAlignment="1">
      <alignment horizontal="center" vertical="center"/>
    </xf>
    <xf numFmtId="164" fontId="0" fillId="15" borderId="16" xfId="0" applyNumberForma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164" fontId="0" fillId="2" borderId="26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0" fontId="0" fillId="12" borderId="9" xfId="0" applyFill="1" applyBorder="1" applyAlignment="1">
      <alignment horizontal="left" vertical="center"/>
    </xf>
    <xf numFmtId="164" fontId="0" fillId="12" borderId="15" xfId="0" applyNumberFormat="1" applyFill="1" applyBorder="1" applyAlignment="1">
      <alignment horizontal="center" vertical="center"/>
    </xf>
    <xf numFmtId="164" fontId="0" fillId="12" borderId="16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164" fontId="0" fillId="6" borderId="19" xfId="0" applyNumberFormat="1" applyFill="1" applyBorder="1" applyAlignment="1">
      <alignment horizontal="center" vertical="center"/>
    </xf>
    <xf numFmtId="164" fontId="0" fillId="17" borderId="15" xfId="0" applyNumberFormat="1" applyFill="1" applyBorder="1" applyAlignment="1">
      <alignment horizontal="center" vertical="center"/>
    </xf>
    <xf numFmtId="164" fontId="0" fillId="17" borderId="16" xfId="0" applyNumberFormat="1" applyFill="1" applyBorder="1" applyAlignment="1">
      <alignment horizontal="center" vertical="center"/>
    </xf>
    <xf numFmtId="0" fontId="0" fillId="6" borderId="21" xfId="0" applyFill="1" applyBorder="1" applyAlignment="1">
      <alignment horizontal="left" vertical="center"/>
    </xf>
    <xf numFmtId="164" fontId="0" fillId="6" borderId="22" xfId="0" applyNumberFormat="1" applyFill="1" applyBorder="1" applyAlignment="1">
      <alignment horizontal="center" vertical="center"/>
    </xf>
    <xf numFmtId="164" fontId="0" fillId="6" borderId="23" xfId="0" applyNumberFormat="1" applyFill="1" applyBorder="1" applyAlignment="1">
      <alignment horizontal="center" vertical="center"/>
    </xf>
    <xf numFmtId="164" fontId="0" fillId="6" borderId="24" xfId="0" applyNumberFormat="1" applyFill="1" applyBorder="1" applyAlignment="1">
      <alignment horizontal="center" vertical="center"/>
    </xf>
    <xf numFmtId="0" fontId="0" fillId="18" borderId="10" xfId="0" applyFill="1" applyBorder="1" applyAlignment="1">
      <alignment horizontal="left" vertical="center"/>
    </xf>
    <xf numFmtId="164" fontId="0" fillId="18" borderId="17" xfId="0" applyNumberFormat="1" applyFill="1" applyBorder="1" applyAlignment="1">
      <alignment horizontal="center" vertical="center"/>
    </xf>
    <xf numFmtId="164" fontId="0" fillId="18" borderId="18" xfId="0" applyNumberFormat="1" applyFill="1" applyBorder="1" applyAlignment="1">
      <alignment horizontal="center" vertical="center"/>
    </xf>
    <xf numFmtId="164" fontId="0" fillId="18" borderId="19" xfId="0" applyNumberFormat="1" applyFill="1" applyBorder="1" applyAlignment="1">
      <alignment horizontal="center" vertical="center"/>
    </xf>
    <xf numFmtId="164" fontId="0" fillId="19" borderId="15" xfId="0" applyNumberFormat="1" applyFill="1" applyBorder="1" applyAlignment="1">
      <alignment horizontal="center" vertical="center"/>
    </xf>
    <xf numFmtId="164" fontId="0" fillId="19" borderId="16" xfId="0" applyNumberFormat="1" applyFill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164" fontId="0" fillId="3" borderId="30" xfId="0" applyNumberForma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164" fontId="0" fillId="12" borderId="26" xfId="0" applyNumberForma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22" borderId="21" xfId="0" applyFill="1" applyBorder="1" applyAlignment="1">
      <alignment horizontal="left" vertical="center"/>
    </xf>
    <xf numFmtId="164" fontId="0" fillId="22" borderId="22" xfId="0" applyNumberFormat="1" applyFill="1" applyBorder="1" applyAlignment="1">
      <alignment horizontal="center" vertical="center"/>
    </xf>
    <xf numFmtId="164" fontId="0" fillId="22" borderId="23" xfId="0" applyNumberFormat="1" applyFill="1" applyBorder="1" applyAlignment="1">
      <alignment horizontal="center" vertical="center"/>
    </xf>
    <xf numFmtId="164" fontId="0" fillId="22" borderId="24" xfId="0" applyNumberFormat="1" applyFill="1" applyBorder="1" applyAlignment="1">
      <alignment horizontal="center" vertical="center"/>
    </xf>
    <xf numFmtId="0" fontId="0" fillId="23" borderId="21" xfId="0" applyFill="1" applyBorder="1" applyAlignment="1">
      <alignment horizontal="left" vertical="center"/>
    </xf>
    <xf numFmtId="164" fontId="0" fillId="23" borderId="22" xfId="0" applyNumberFormat="1" applyFill="1" applyBorder="1" applyAlignment="1">
      <alignment horizontal="center" vertical="center"/>
    </xf>
    <xf numFmtId="164" fontId="0" fillId="23" borderId="23" xfId="0" applyNumberFormat="1" applyFill="1" applyBorder="1" applyAlignment="1">
      <alignment horizontal="center" vertical="center"/>
    </xf>
    <xf numFmtId="164" fontId="0" fillId="23" borderId="24" xfId="0" applyNumberFormat="1" applyFill="1" applyBorder="1" applyAlignment="1">
      <alignment horizontal="center" vertical="center"/>
    </xf>
    <xf numFmtId="0" fontId="0" fillId="24" borderId="21" xfId="0" applyFill="1" applyBorder="1" applyAlignment="1">
      <alignment horizontal="left" vertical="center"/>
    </xf>
    <xf numFmtId="164" fontId="0" fillId="24" borderId="22" xfId="0" applyNumberFormat="1" applyFill="1" applyBorder="1" applyAlignment="1">
      <alignment horizontal="center" vertical="center"/>
    </xf>
    <xf numFmtId="164" fontId="0" fillId="24" borderId="23" xfId="0" applyNumberFormat="1" applyFill="1" applyBorder="1" applyAlignment="1">
      <alignment horizontal="center" vertical="center"/>
    </xf>
    <xf numFmtId="164" fontId="0" fillId="24" borderId="24" xfId="0" applyNumberFormat="1" applyFill="1" applyBorder="1" applyAlignment="1">
      <alignment horizontal="center" vertical="center"/>
    </xf>
    <xf numFmtId="164" fontId="0" fillId="25" borderId="31" xfId="0" applyNumberFormat="1" applyFill="1" applyBorder="1" applyAlignment="1">
      <alignment horizontal="center" vertical="center"/>
    </xf>
    <xf numFmtId="164" fontId="0" fillId="25" borderId="32" xfId="0" applyNumberFormat="1" applyFill="1" applyBorder="1" applyAlignment="1">
      <alignment horizontal="center" vertical="center"/>
    </xf>
    <xf numFmtId="164" fontId="0" fillId="21" borderId="1" xfId="0" applyNumberFormat="1" applyFill="1" applyBorder="1" applyAlignment="1">
      <alignment horizontal="center" vertical="center"/>
    </xf>
    <xf numFmtId="164" fontId="0" fillId="21" borderId="6" xfId="0" applyNumberFormat="1" applyFill="1" applyBorder="1" applyAlignment="1">
      <alignment horizontal="center" vertical="center"/>
    </xf>
    <xf numFmtId="0" fontId="0" fillId="7" borderId="8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164" fontId="0" fillId="25" borderId="11" xfId="0" applyNumberFormat="1" applyFill="1" applyBorder="1" applyAlignment="1">
      <alignment horizontal="center" vertical="center"/>
    </xf>
    <xf numFmtId="164" fontId="0" fillId="25" borderId="25" xfId="0" applyNumberFormat="1" applyFill="1" applyBorder="1" applyAlignment="1">
      <alignment horizontal="center" vertical="center"/>
    </xf>
    <xf numFmtId="164" fontId="0" fillId="25" borderId="13" xfId="0" applyNumberFormat="1" applyFill="1" applyBorder="1" applyAlignment="1">
      <alignment horizontal="center" vertical="center"/>
    </xf>
    <xf numFmtId="164" fontId="0" fillId="25" borderId="14" xfId="0" applyNumberFormat="1" applyFill="1" applyBorder="1" applyAlignment="1">
      <alignment horizontal="center" vertical="center"/>
    </xf>
    <xf numFmtId="164" fontId="0" fillId="25" borderId="26" xfId="0" applyNumberFormat="1" applyFill="1" applyBorder="1" applyAlignment="1">
      <alignment horizontal="center" vertical="center"/>
    </xf>
    <xf numFmtId="164" fontId="0" fillId="25" borderId="16" xfId="0" applyNumberFormat="1" applyFill="1" applyBorder="1" applyAlignment="1">
      <alignment horizontal="center" vertical="center"/>
    </xf>
    <xf numFmtId="164" fontId="0" fillId="20" borderId="18" xfId="0" applyNumberFormat="1" applyFill="1" applyBorder="1" applyAlignment="1">
      <alignment horizontal="center" vertical="center"/>
    </xf>
    <xf numFmtId="164" fontId="0" fillId="20" borderId="19" xfId="0" applyNumberFormat="1" applyFill="1" applyBorder="1" applyAlignment="1">
      <alignment horizontal="center" vertical="center"/>
    </xf>
    <xf numFmtId="164" fontId="0" fillId="27" borderId="26" xfId="0" applyNumberFormat="1" applyFill="1" applyBorder="1" applyAlignment="1">
      <alignment horizontal="center" vertical="center"/>
    </xf>
    <xf numFmtId="0" fontId="0" fillId="23" borderId="10" xfId="0" applyFill="1" applyBorder="1" applyAlignment="1">
      <alignment horizontal="left" vertical="center"/>
    </xf>
    <xf numFmtId="164" fontId="0" fillId="23" borderId="17" xfId="0" applyNumberFormat="1" applyFill="1" applyBorder="1" applyAlignment="1">
      <alignment horizontal="center" vertical="center"/>
    </xf>
    <xf numFmtId="164" fontId="0" fillId="23" borderId="18" xfId="0" applyNumberFormat="1" applyFill="1" applyBorder="1" applyAlignment="1">
      <alignment horizontal="center" vertical="center"/>
    </xf>
    <xf numFmtId="164" fontId="0" fillId="23" borderId="19" xfId="0" applyNumberFormat="1" applyFill="1" applyBorder="1" applyAlignment="1">
      <alignment horizontal="center" vertical="center"/>
    </xf>
    <xf numFmtId="0" fontId="0" fillId="9" borderId="21" xfId="0" applyFill="1" applyBorder="1" applyAlignment="1">
      <alignment horizontal="left" vertical="center"/>
    </xf>
    <xf numFmtId="164" fontId="0" fillId="9" borderId="22" xfId="0" applyNumberFormat="1" applyFill="1" applyBorder="1" applyAlignment="1">
      <alignment horizontal="center" vertical="center"/>
    </xf>
    <xf numFmtId="164" fontId="0" fillId="9" borderId="23" xfId="0" applyNumberFormat="1" applyFill="1" applyBorder="1" applyAlignment="1">
      <alignment horizontal="center" vertical="center"/>
    </xf>
    <xf numFmtId="164" fontId="0" fillId="9" borderId="24" xfId="0" applyNumberForma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9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0" xfId="0" quotePrefix="1"/>
    <xf numFmtId="0" fontId="1" fillId="7" borderId="2" xfId="0" applyFon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164" fontId="0" fillId="13" borderId="26" xfId="0" applyNumberFormat="1" applyFill="1" applyBorder="1" applyAlignment="1">
      <alignment horizontal="center" vertical="center"/>
    </xf>
    <xf numFmtId="164" fontId="0" fillId="23" borderId="34" xfId="0" applyNumberFormat="1" applyFill="1" applyBorder="1" applyAlignment="1">
      <alignment horizontal="center" vertical="center"/>
    </xf>
    <xf numFmtId="164" fontId="0" fillId="4" borderId="34" xfId="0" applyNumberFormat="1" applyFill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6" xfId="0" applyNumberFormat="1" applyFill="1" applyBorder="1" applyAlignment="1">
      <alignment horizontal="center" vertical="center"/>
    </xf>
    <xf numFmtId="165" fontId="0" fillId="2" borderId="34" xfId="0" applyNumberFormat="1" applyFill="1" applyBorder="1" applyAlignment="1">
      <alignment horizontal="center" vertical="center"/>
    </xf>
    <xf numFmtId="164" fontId="0" fillId="7" borderId="20" xfId="0" applyNumberFormat="1" applyFill="1" applyBorder="1" applyAlignment="1">
      <alignment horizontal="center" vertical="center"/>
    </xf>
    <xf numFmtId="164" fontId="0" fillId="25" borderId="12" xfId="0" applyNumberFormat="1" applyFill="1" applyBorder="1" applyAlignment="1">
      <alignment horizontal="center" vertical="center"/>
    </xf>
    <xf numFmtId="164" fontId="0" fillId="25" borderId="15" xfId="0" applyNumberFormat="1" applyFill="1" applyBorder="1" applyAlignment="1">
      <alignment horizontal="center" vertical="center"/>
    </xf>
    <xf numFmtId="164" fontId="0" fillId="25" borderId="17" xfId="0" applyNumberFormat="1" applyFill="1" applyBorder="1" applyAlignment="1">
      <alignment horizontal="center" vertical="center"/>
    </xf>
    <xf numFmtId="164" fontId="0" fillId="27" borderId="18" xfId="0" applyNumberFormat="1" applyFill="1" applyBorder="1" applyAlignment="1">
      <alignment horizontal="center" vertical="center"/>
    </xf>
    <xf numFmtId="164" fontId="0" fillId="25" borderId="18" xfId="0" applyNumberFormat="1" applyFill="1" applyBorder="1" applyAlignment="1">
      <alignment horizontal="center" vertical="center"/>
    </xf>
    <xf numFmtId="164" fontId="0" fillId="6" borderId="3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3" xfId="0" applyFill="1" applyBorder="1" applyAlignment="1">
      <alignment horizontal="left" vertical="center"/>
    </xf>
    <xf numFmtId="0" fontId="0" fillId="25" borderId="33" xfId="0" applyFill="1" applyBorder="1" applyAlignment="1">
      <alignment horizontal="left" vertical="center"/>
    </xf>
    <xf numFmtId="0" fontId="0" fillId="20" borderId="33" xfId="0" applyFill="1" applyBorder="1" applyAlignment="1">
      <alignment horizontal="left" vertical="center"/>
    </xf>
    <xf numFmtId="0" fontId="1" fillId="22" borderId="2" xfId="0" applyFon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5" fontId="0" fillId="6" borderId="11" xfId="0" applyNumberFormat="1" applyFill="1" applyBorder="1" applyAlignment="1">
      <alignment horizontal="left" vertical="center"/>
    </xf>
    <xf numFmtId="165" fontId="0" fillId="6" borderId="12" xfId="0" applyNumberFormat="1" applyFill="1" applyBorder="1" applyAlignment="1">
      <alignment horizontal="left" vertical="center"/>
    </xf>
    <xf numFmtId="165" fontId="0" fillId="6" borderId="14" xfId="0" applyNumberFormat="1" applyFill="1" applyBorder="1" applyAlignment="1">
      <alignment horizontal="left" vertical="center"/>
    </xf>
    <xf numFmtId="165" fontId="0" fillId="6" borderId="15" xfId="0" applyNumberFormat="1" applyFill="1" applyBorder="1" applyAlignment="1">
      <alignment horizontal="left" vertical="center"/>
    </xf>
    <xf numFmtId="165" fontId="0" fillId="2" borderId="17" xfId="0" applyNumberFormat="1" applyFill="1" applyBorder="1" applyAlignment="1">
      <alignment horizontal="left" vertical="center"/>
    </xf>
    <xf numFmtId="165" fontId="0" fillId="2" borderId="18" xfId="0" applyNumberFormat="1" applyFill="1" applyBorder="1" applyAlignment="1">
      <alignment horizontal="left" vertical="center"/>
    </xf>
    <xf numFmtId="164" fontId="5" fillId="25" borderId="1" xfId="0" applyNumberFormat="1" applyFont="1" applyFill="1" applyBorder="1" applyAlignment="1">
      <alignment horizontal="center" vertical="center"/>
    </xf>
    <xf numFmtId="164" fontId="0" fillId="6" borderId="11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6" borderId="2" xfId="0" applyFont="1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lor rgb="FF00B050"/>
      </font>
      <numFmt numFmtId="164" formatCode="#,##0.00\ &quot;€&quot;"/>
    </dxf>
    <dxf>
      <font>
        <b/>
        <i val="0"/>
        <color theme="1" tint="0.34998626667073579"/>
      </font>
      <numFmt numFmtId="164" formatCode="#,##0.00\ &quot;€&quot;"/>
    </dxf>
    <dxf>
      <font>
        <b/>
        <i val="0"/>
        <color rgb="FFFF0000"/>
      </font>
      <numFmt numFmtId="164" formatCode="#,##0.00\ &quot;€&quot;"/>
    </dxf>
  </dxfs>
  <tableStyles count="0" defaultTableStyle="TableStyleMedium2" defaultPivotStyle="PivotStyleLight16"/>
  <colors>
    <mruColors>
      <color rgb="FFFF4215"/>
      <color rgb="FF99CC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CUSTOS</a:t>
            </a:r>
            <a:r>
              <a:rPr lang="pt-PT" sz="2000" b="1" baseline="0"/>
              <a:t> (EDP)</a:t>
            </a:r>
            <a:endParaRPr lang="pt-PT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'Luz &amp; Gás (EDP)'!$B$5</c:f>
              <c:strCache>
                <c:ptCount val="1"/>
                <c:pt idx="0">
                  <c:v>Electricidade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'Luz &amp; Gás (EDP)'!$E$4:$N$4</c:f>
              <c:strCache>
                <c:ptCount val="10"/>
                <c:pt idx="0">
                  <c:v>Março</c:v>
                </c:pt>
                <c:pt idx="1">
                  <c:v>Abril</c:v>
                </c:pt>
                <c:pt idx="2">
                  <c:v>Maio</c:v>
                </c:pt>
                <c:pt idx="3">
                  <c:v>Junho</c:v>
                </c:pt>
                <c:pt idx="4">
                  <c:v>Julho</c:v>
                </c:pt>
                <c:pt idx="5">
                  <c:v>Agosto</c:v>
                </c:pt>
                <c:pt idx="6">
                  <c:v>Setembro</c:v>
                </c:pt>
                <c:pt idx="7">
                  <c:v>Outubro</c:v>
                </c:pt>
                <c:pt idx="8">
                  <c:v>Novembro</c:v>
                </c:pt>
                <c:pt idx="9">
                  <c:v>Dezembro</c:v>
                </c:pt>
              </c:strCache>
            </c:strRef>
          </c:cat>
          <c:val>
            <c:numRef>
              <c:f>'Luz &amp; Gás (EDP)'!$E$5:$N$5</c:f>
              <c:numCache>
                <c:formatCode>#\ ##0.00\ "€"</c:formatCode>
                <c:ptCount val="10"/>
                <c:pt idx="0">
                  <c:v>24.88</c:v>
                </c:pt>
                <c:pt idx="1">
                  <c:v>27.09</c:v>
                </c:pt>
                <c:pt idx="2">
                  <c:v>26.11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4-40E7-9ACB-E410C3FF7FBD}"/>
            </c:ext>
          </c:extLst>
        </c:ser>
        <c:ser>
          <c:idx val="1"/>
          <c:order val="1"/>
          <c:tx>
            <c:strRef>
              <c:f>'Luz &amp; Gás (EDP)'!$B$6</c:f>
              <c:strCache>
                <c:ptCount val="1"/>
                <c:pt idx="0">
                  <c:v>Gás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'Luz &amp; Gás (EDP)'!$E$4:$N$4</c:f>
              <c:strCache>
                <c:ptCount val="10"/>
                <c:pt idx="0">
                  <c:v>Março</c:v>
                </c:pt>
                <c:pt idx="1">
                  <c:v>Abril</c:v>
                </c:pt>
                <c:pt idx="2">
                  <c:v>Maio</c:v>
                </c:pt>
                <c:pt idx="3">
                  <c:v>Junho</c:v>
                </c:pt>
                <c:pt idx="4">
                  <c:v>Julho</c:v>
                </c:pt>
                <c:pt idx="5">
                  <c:v>Agosto</c:v>
                </c:pt>
                <c:pt idx="6">
                  <c:v>Setembro</c:v>
                </c:pt>
                <c:pt idx="7">
                  <c:v>Outubro</c:v>
                </c:pt>
                <c:pt idx="8">
                  <c:v>Novembro</c:v>
                </c:pt>
                <c:pt idx="9">
                  <c:v>Dezembro</c:v>
                </c:pt>
              </c:strCache>
            </c:strRef>
          </c:cat>
          <c:val>
            <c:numRef>
              <c:f>'Luz &amp; Gás (EDP)'!$E$6:$N$6</c:f>
              <c:numCache>
                <c:formatCode>#\ ##0.00\ "€"</c:formatCode>
                <c:ptCount val="10"/>
                <c:pt idx="0">
                  <c:v>2.89</c:v>
                </c:pt>
                <c:pt idx="1">
                  <c:v>4.3600000000000003</c:v>
                </c:pt>
                <c:pt idx="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4-40E7-9ACB-E410C3FF7FBD}"/>
            </c:ext>
          </c:extLst>
        </c:ser>
        <c:ser>
          <c:idx val="2"/>
          <c:order val="2"/>
          <c:tx>
            <c:strRef>
              <c:f>'Luz &amp; Gás (EDP)'!$B$7</c:f>
              <c:strCache>
                <c:ptCount val="1"/>
                <c:pt idx="0">
                  <c:v>Taxas / Impostos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'Luz &amp; Gás (EDP)'!$E$4:$N$4</c:f>
              <c:strCache>
                <c:ptCount val="10"/>
                <c:pt idx="0">
                  <c:v>Março</c:v>
                </c:pt>
                <c:pt idx="1">
                  <c:v>Abril</c:v>
                </c:pt>
                <c:pt idx="2">
                  <c:v>Maio</c:v>
                </c:pt>
                <c:pt idx="3">
                  <c:v>Junho</c:v>
                </c:pt>
                <c:pt idx="4">
                  <c:v>Julho</c:v>
                </c:pt>
                <c:pt idx="5">
                  <c:v>Agosto</c:v>
                </c:pt>
                <c:pt idx="6">
                  <c:v>Setembro</c:v>
                </c:pt>
                <c:pt idx="7">
                  <c:v>Outubro</c:v>
                </c:pt>
                <c:pt idx="8">
                  <c:v>Novembro</c:v>
                </c:pt>
                <c:pt idx="9">
                  <c:v>Dezembro</c:v>
                </c:pt>
              </c:strCache>
            </c:strRef>
          </c:cat>
          <c:val>
            <c:numRef>
              <c:f>'Luz &amp; Gás (EDP)'!$E$7:$N$7</c:f>
              <c:numCache>
                <c:formatCode>#\ ##0.00\ "€"</c:formatCode>
                <c:ptCount val="10"/>
                <c:pt idx="0">
                  <c:v>8.9499999999999993</c:v>
                </c:pt>
                <c:pt idx="1">
                  <c:v>10.02</c:v>
                </c:pt>
                <c:pt idx="2">
                  <c:v>8.9600000000000009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4-40E7-9ACB-E410C3FF7FBD}"/>
            </c:ext>
          </c:extLst>
        </c:ser>
        <c:ser>
          <c:idx val="4"/>
          <c:order val="3"/>
          <c:tx>
            <c:strRef>
              <c:f>'Luz &amp; Gás (EDP)'!$B$9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'Luz &amp; Gás (EDP)'!$E$4:$N$4</c:f>
              <c:strCache>
                <c:ptCount val="10"/>
                <c:pt idx="0">
                  <c:v>Março</c:v>
                </c:pt>
                <c:pt idx="1">
                  <c:v>Abril</c:v>
                </c:pt>
                <c:pt idx="2">
                  <c:v>Maio</c:v>
                </c:pt>
                <c:pt idx="3">
                  <c:v>Junho</c:v>
                </c:pt>
                <c:pt idx="4">
                  <c:v>Julho</c:v>
                </c:pt>
                <c:pt idx="5">
                  <c:v>Agosto</c:v>
                </c:pt>
                <c:pt idx="6">
                  <c:v>Setembro</c:v>
                </c:pt>
                <c:pt idx="7">
                  <c:v>Outubro</c:v>
                </c:pt>
                <c:pt idx="8">
                  <c:v>Novembro</c:v>
                </c:pt>
                <c:pt idx="9">
                  <c:v>Dezembro</c:v>
                </c:pt>
              </c:strCache>
            </c:strRef>
          </c:cat>
          <c:val>
            <c:numRef>
              <c:f>'Luz &amp; Gás (EDP)'!$E$9:$N$9</c:f>
              <c:numCache>
                <c:formatCode>#\ ##0.00\ "€"</c:formatCode>
                <c:ptCount val="10"/>
                <c:pt idx="0">
                  <c:v>36.72</c:v>
                </c:pt>
                <c:pt idx="1">
                  <c:v>41.47</c:v>
                </c:pt>
                <c:pt idx="2">
                  <c:v>37.39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4-40E7-9ACB-E410C3FF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8768992"/>
        <c:axId val="608806576"/>
      </c:barChart>
      <c:catAx>
        <c:axId val="7087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08806576"/>
        <c:crosses val="autoZero"/>
        <c:auto val="1"/>
        <c:lblAlgn val="ctr"/>
        <c:lblOffset val="100"/>
        <c:noMultiLvlLbl val="0"/>
      </c:catAx>
      <c:valAx>
        <c:axId val="608806576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0876899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147641365103084"/>
          <c:y val="0.38069975546166468"/>
          <c:w val="6.187544350202543E-2"/>
          <c:h val="0.21739288102574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CUSTOS</a:t>
            </a:r>
            <a:r>
              <a:rPr lang="pt-PT" sz="2000" b="1" baseline="0"/>
              <a:t> (SMAS)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'Água &amp; MEO'!$B$4</c:f>
              <c:strCache>
                <c:ptCount val="1"/>
                <c:pt idx="0">
                  <c:v>Água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'Água &amp; MEO'!$C$3:$N$3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'Água &amp; MEO'!$C$4:$N$4</c:f>
              <c:numCache>
                <c:formatCode>#\ ##0.00\ "€"</c:formatCode>
                <c:ptCount val="12"/>
                <c:pt idx="0">
                  <c:v>4.68</c:v>
                </c:pt>
                <c:pt idx="1">
                  <c:v>4.3899999999999997</c:v>
                </c:pt>
                <c:pt idx="2">
                  <c:v>4.92</c:v>
                </c:pt>
                <c:pt idx="3">
                  <c:v>4.4000000000000004</c:v>
                </c:pt>
                <c:pt idx="4">
                  <c:v>5.09</c:v>
                </c:pt>
                <c:pt idx="5">
                  <c:v>4.7300000000000004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A-4EBB-9944-69C80A52A369}"/>
            </c:ext>
          </c:extLst>
        </c:ser>
        <c:ser>
          <c:idx val="1"/>
          <c:order val="1"/>
          <c:tx>
            <c:strRef>
              <c:f>'Água &amp; MEO'!$B$5</c:f>
              <c:strCache>
                <c:ptCount val="1"/>
                <c:pt idx="0">
                  <c:v>Resíduos Sólidos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'Água &amp; MEO'!$C$3:$N$3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'Água &amp; MEO'!$C$5:$N$5</c:f>
              <c:numCache>
                <c:formatCode>#\ ##0.00\ "€"</c:formatCode>
                <c:ptCount val="12"/>
                <c:pt idx="0">
                  <c:v>4.25</c:v>
                </c:pt>
                <c:pt idx="1">
                  <c:v>3.86</c:v>
                </c:pt>
                <c:pt idx="2">
                  <c:v>4.45</c:v>
                </c:pt>
                <c:pt idx="3">
                  <c:v>3.87</c:v>
                </c:pt>
                <c:pt idx="4">
                  <c:v>4.67</c:v>
                </c:pt>
                <c:pt idx="5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A-4EBB-9944-69C80A52A369}"/>
            </c:ext>
          </c:extLst>
        </c:ser>
        <c:ser>
          <c:idx val="2"/>
          <c:order val="2"/>
          <c:tx>
            <c:strRef>
              <c:f>'Água &amp; MEO'!$B$6</c:f>
              <c:strCache>
                <c:ptCount val="1"/>
                <c:pt idx="0">
                  <c:v>Saneamento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'Água &amp; MEO'!$C$3:$N$3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'Água &amp; MEO'!$C$6:$N$6</c:f>
              <c:numCache>
                <c:formatCode>#\ ##0.00\ "€"</c:formatCode>
                <c:ptCount val="12"/>
                <c:pt idx="0">
                  <c:v>2.79</c:v>
                </c:pt>
                <c:pt idx="1">
                  <c:v>2.2599999999999998</c:v>
                </c:pt>
                <c:pt idx="2">
                  <c:v>2.89</c:v>
                </c:pt>
                <c:pt idx="3">
                  <c:v>2.2599999999999998</c:v>
                </c:pt>
                <c:pt idx="4">
                  <c:v>2.97</c:v>
                </c:pt>
                <c:pt idx="5">
                  <c:v>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A-4EBB-9944-69C80A52A369}"/>
            </c:ext>
          </c:extLst>
        </c:ser>
        <c:ser>
          <c:idx val="3"/>
          <c:order val="3"/>
          <c:tx>
            <c:strRef>
              <c:f>'Água &amp; MEO'!$B$7</c:f>
              <c:strCache>
                <c:ptCount val="1"/>
                <c:pt idx="0">
                  <c:v>IVA+Outros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'Água &amp; MEO'!$C$3:$N$3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'Água &amp; MEO'!$C$7:$N$7</c:f>
              <c:numCache>
                <c:formatCode>#\ ##0.00\ "€"</c:formatCode>
                <c:ptCount val="12"/>
                <c:pt idx="0">
                  <c:v>0.27</c:v>
                </c:pt>
                <c:pt idx="1">
                  <c:v>0.26</c:v>
                </c:pt>
                <c:pt idx="2">
                  <c:v>0.3</c:v>
                </c:pt>
                <c:pt idx="3">
                  <c:v>0.26</c:v>
                </c:pt>
                <c:pt idx="4">
                  <c:v>0.31</c:v>
                </c:pt>
                <c:pt idx="5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A-4EBB-9944-69C80A52A369}"/>
            </c:ext>
          </c:extLst>
        </c:ser>
        <c:ser>
          <c:idx val="4"/>
          <c:order val="4"/>
          <c:tx>
            <c:strRef>
              <c:f>'Água &amp; MEO'!$B$8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3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F-4FB9-8DC4-74F53F1A56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'Água &amp; MEO'!$C$3:$N$3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'Água &amp; MEO'!$C$8:$N$8</c:f>
              <c:numCache>
                <c:formatCode>#\ ##0.00\ "€"</c:formatCode>
                <c:ptCount val="12"/>
                <c:pt idx="0">
                  <c:v>11.989999999999998</c:v>
                </c:pt>
                <c:pt idx="1">
                  <c:v>10.77</c:v>
                </c:pt>
                <c:pt idx="2">
                  <c:v>12.560000000000002</c:v>
                </c:pt>
                <c:pt idx="3">
                  <c:v>10.79</c:v>
                </c:pt>
                <c:pt idx="4">
                  <c:v>13.040000000000001</c:v>
                </c:pt>
                <c:pt idx="5">
                  <c:v>12.18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A-4EBB-9944-69C80A52A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739408"/>
        <c:axId val="432038208"/>
      </c:barChart>
      <c:catAx>
        <c:axId val="4997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32038208"/>
        <c:crosses val="autoZero"/>
        <c:auto val="1"/>
        <c:lblAlgn val="ctr"/>
        <c:lblOffset val="100"/>
        <c:noMultiLvlLbl val="0"/>
      </c:catAx>
      <c:valAx>
        <c:axId val="43203820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9973940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CUSTOS (BANCO)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'Santander &amp; Condomínio'!$B$4</c:f>
              <c:strCache>
                <c:ptCount val="1"/>
                <c:pt idx="0">
                  <c:v>Prestação (c/Comissão)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'Santander &amp; Condomínio'!$C$3:$N$3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'Santander &amp; Condomínio'!$C$4:$N$4</c:f>
              <c:numCache>
                <c:formatCode>#\ ##0.00\ "€"</c:formatCode>
                <c:ptCount val="12"/>
                <c:pt idx="0">
                  <c:v>221.21</c:v>
                </c:pt>
                <c:pt idx="1">
                  <c:v>221.21</c:v>
                </c:pt>
                <c:pt idx="2">
                  <c:v>221.21</c:v>
                </c:pt>
                <c:pt idx="3">
                  <c:v>221.21</c:v>
                </c:pt>
                <c:pt idx="4">
                  <c:v>221.21</c:v>
                </c:pt>
                <c:pt idx="5">
                  <c:v>221.21</c:v>
                </c:pt>
                <c:pt idx="6">
                  <c:v>221.21</c:v>
                </c:pt>
                <c:pt idx="7">
                  <c:v>221.21</c:v>
                </c:pt>
                <c:pt idx="8">
                  <c:v>221.21</c:v>
                </c:pt>
                <c:pt idx="9">
                  <c:v>221.21</c:v>
                </c:pt>
                <c:pt idx="10">
                  <c:v>221.21</c:v>
                </c:pt>
                <c:pt idx="11">
                  <c:v>221.21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F-4890-98E5-E5622DFB7739}"/>
            </c:ext>
          </c:extLst>
        </c:ser>
        <c:ser>
          <c:idx val="1"/>
          <c:order val="1"/>
          <c:tx>
            <c:strRef>
              <c:f>'Santander &amp; Condomínio'!$B$5</c:f>
              <c:strCache>
                <c:ptCount val="1"/>
                <c:pt idx="0">
                  <c:v>Seguro Vida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'Santander &amp; Condomínio'!$C$3:$N$3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'Santander &amp; Condomínio'!$C$5:$N$5</c:f>
              <c:numCache>
                <c:formatCode>#\ ##0.00\ "€"</c:formatCode>
                <c:ptCount val="12"/>
                <c:pt idx="0">
                  <c:v>11.24</c:v>
                </c:pt>
                <c:pt idx="1">
                  <c:v>11.24</c:v>
                </c:pt>
                <c:pt idx="2">
                  <c:v>11.24</c:v>
                </c:pt>
                <c:pt idx="3">
                  <c:v>11.24</c:v>
                </c:pt>
                <c:pt idx="4">
                  <c:v>11.24</c:v>
                </c:pt>
                <c:pt idx="5">
                  <c:v>11.24</c:v>
                </c:pt>
                <c:pt idx="6">
                  <c:v>11.24</c:v>
                </c:pt>
                <c:pt idx="7">
                  <c:v>11.24</c:v>
                </c:pt>
                <c:pt idx="8">
                  <c:v>11.24</c:v>
                </c:pt>
                <c:pt idx="9">
                  <c:v>11.24</c:v>
                </c:pt>
                <c:pt idx="10">
                  <c:v>11.24</c:v>
                </c:pt>
                <c:pt idx="11">
                  <c:v>11.24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F-4890-98E5-E5622DFB7739}"/>
            </c:ext>
          </c:extLst>
        </c:ser>
        <c:ser>
          <c:idx val="2"/>
          <c:order val="2"/>
          <c:tx>
            <c:strRef>
              <c:f>'Santander &amp; Condomínio'!$B$6</c:f>
              <c:strCache>
                <c:ptCount val="1"/>
                <c:pt idx="0">
                  <c:v>Seguro Multirisco + Recheio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'Santander &amp; Condomínio'!$C$3:$N$3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'Santander &amp; Condomínio'!$C$6:$N$6</c:f>
              <c:numCache>
                <c:formatCode>#\ ##0.00\ "€"</c:formatCode>
                <c:ptCount val="12"/>
                <c:pt idx="0">
                  <c:v>21.846666666666668</c:v>
                </c:pt>
                <c:pt idx="1">
                  <c:v>21.846666666666668</c:v>
                </c:pt>
                <c:pt idx="2">
                  <c:v>21.846666666666668</c:v>
                </c:pt>
                <c:pt idx="3">
                  <c:v>21.846666666666668</c:v>
                </c:pt>
                <c:pt idx="4">
                  <c:v>21.846666666666668</c:v>
                </c:pt>
                <c:pt idx="5">
                  <c:v>21.846666666666668</c:v>
                </c:pt>
                <c:pt idx="6">
                  <c:v>21.846666666666668</c:v>
                </c:pt>
                <c:pt idx="7">
                  <c:v>21.846666666666668</c:v>
                </c:pt>
                <c:pt idx="8">
                  <c:v>21.846666666666668</c:v>
                </c:pt>
                <c:pt idx="9">
                  <c:v>21.846666666666668</c:v>
                </c:pt>
                <c:pt idx="10">
                  <c:v>21.846666666666668</c:v>
                </c:pt>
                <c:pt idx="11">
                  <c:v>21.846666666666668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F-4890-98E5-E5622DFB7739}"/>
            </c:ext>
          </c:extLst>
        </c:ser>
        <c:ser>
          <c:idx val="3"/>
          <c:order val="3"/>
          <c:tx>
            <c:strRef>
              <c:f>'Santander &amp; Condomínio'!$B$7</c:f>
              <c:strCache>
                <c:ptCount val="1"/>
                <c:pt idx="0">
                  <c:v>Condomínio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'Santander &amp; Condomínio'!$C$3:$N$3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'Santander &amp; Condomínio'!$C$7:$N$7</c:f>
              <c:numCache>
                <c:formatCode>#\ ##0.00\ "€"</c:formatCode>
                <c:ptCount val="12"/>
                <c:pt idx="0">
                  <c:v>42.9</c:v>
                </c:pt>
                <c:pt idx="1">
                  <c:v>42.9</c:v>
                </c:pt>
                <c:pt idx="2">
                  <c:v>42.9</c:v>
                </c:pt>
                <c:pt idx="3">
                  <c:v>42.9</c:v>
                </c:pt>
                <c:pt idx="4">
                  <c:v>42.9</c:v>
                </c:pt>
                <c:pt idx="5">
                  <c:v>42.9</c:v>
                </c:pt>
                <c:pt idx="6">
                  <c:v>42.9</c:v>
                </c:pt>
                <c:pt idx="7">
                  <c:v>42.9</c:v>
                </c:pt>
                <c:pt idx="8">
                  <c:v>42.9</c:v>
                </c:pt>
                <c:pt idx="9">
                  <c:v>42.9</c:v>
                </c:pt>
                <c:pt idx="10">
                  <c:v>42.9</c:v>
                </c:pt>
                <c:pt idx="11">
                  <c:v>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F-4890-98E5-E5622DFB7739}"/>
            </c:ext>
          </c:extLst>
        </c:ser>
        <c:ser>
          <c:idx val="4"/>
          <c:order val="4"/>
          <c:tx>
            <c:strRef>
              <c:f>'Santander &amp; Condomínio'!$B$8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'Santander &amp; Condomínio'!$C$3:$N$3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'Santander &amp; Condomínio'!$C$8:$N$8</c:f>
              <c:numCache>
                <c:formatCode>#\ ##0.00\ "€"</c:formatCode>
                <c:ptCount val="12"/>
                <c:pt idx="0">
                  <c:v>297.19666666666666</c:v>
                </c:pt>
                <c:pt idx="1">
                  <c:v>297.19666666666666</c:v>
                </c:pt>
                <c:pt idx="2">
                  <c:v>297.19666666666666</c:v>
                </c:pt>
                <c:pt idx="3">
                  <c:v>297.19666666666666</c:v>
                </c:pt>
                <c:pt idx="4">
                  <c:v>297.19666666666666</c:v>
                </c:pt>
                <c:pt idx="5">
                  <c:v>297.19666666666666</c:v>
                </c:pt>
                <c:pt idx="6">
                  <c:v>297.19666666666666</c:v>
                </c:pt>
                <c:pt idx="7">
                  <c:v>297.19666666666666</c:v>
                </c:pt>
                <c:pt idx="8">
                  <c:v>297.19666666666666</c:v>
                </c:pt>
                <c:pt idx="9">
                  <c:v>297.19666666666666</c:v>
                </c:pt>
                <c:pt idx="10">
                  <c:v>297.19666666666666</c:v>
                </c:pt>
                <c:pt idx="11">
                  <c:v>297.19666666666666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3-41DE-AB8E-FAECA5B79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523904"/>
        <c:axId val="775591776"/>
      </c:barChart>
      <c:catAx>
        <c:axId val="7715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75591776"/>
        <c:crosses val="autoZero"/>
        <c:auto val="1"/>
        <c:lblAlgn val="ctr"/>
        <c:lblOffset val="100"/>
        <c:noMultiLvlLbl val="0"/>
      </c:catAx>
      <c:valAx>
        <c:axId val="77559177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7152390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2000" b="1"/>
              <a:t>CUSTOS MENSAIS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TOTAL!$B$4</c:f>
              <c:strCache>
                <c:ptCount val="1"/>
                <c:pt idx="0">
                  <c:v>BANCO E CASA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TOTAL!$C$4:$N$4</c:f>
              <c:numCache>
                <c:formatCode>#\ ##0.00\ "€"</c:formatCode>
                <c:ptCount val="12"/>
                <c:pt idx="0">
                  <c:v>297.19666666666666</c:v>
                </c:pt>
                <c:pt idx="1">
                  <c:v>297.19666666666666</c:v>
                </c:pt>
                <c:pt idx="2">
                  <c:v>297.19666666666666</c:v>
                </c:pt>
                <c:pt idx="3">
                  <c:v>297.19666666666666</c:v>
                </c:pt>
                <c:pt idx="4">
                  <c:v>297.19666666666666</c:v>
                </c:pt>
                <c:pt idx="5">
                  <c:v>297.19666666666666</c:v>
                </c:pt>
                <c:pt idx="6">
                  <c:v>297.19666666666666</c:v>
                </c:pt>
                <c:pt idx="7">
                  <c:v>297.19666666666666</c:v>
                </c:pt>
                <c:pt idx="8">
                  <c:v>297.19666666666666</c:v>
                </c:pt>
                <c:pt idx="9">
                  <c:v>297.19666666666666</c:v>
                </c:pt>
                <c:pt idx="10">
                  <c:v>297.19666666666666</c:v>
                </c:pt>
                <c:pt idx="11">
                  <c:v>297.19666666666666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4B7-BBD0-0011E19BE402}"/>
            </c:ext>
          </c:extLst>
        </c:ser>
        <c:ser>
          <c:idx val="1"/>
          <c:order val="1"/>
          <c:tx>
            <c:strRef>
              <c:f>TOTAL!$B$5</c:f>
              <c:strCache>
                <c:ptCount val="1"/>
                <c:pt idx="0">
                  <c:v>TELECOMUNICAÇÕES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TOTAL!$C$5:$N$5</c:f>
              <c:numCache>
                <c:formatCode>#\ ##0.00\ "€"</c:formatCode>
                <c:ptCount val="12"/>
                <c:pt idx="0">
                  <c:v>66.2</c:v>
                </c:pt>
                <c:pt idx="1">
                  <c:v>62.23</c:v>
                </c:pt>
                <c:pt idx="2">
                  <c:v>71.83</c:v>
                </c:pt>
                <c:pt idx="3">
                  <c:v>89.77</c:v>
                </c:pt>
                <c:pt idx="4">
                  <c:v>47.39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1-44B7-BBD0-0011E19BE402}"/>
            </c:ext>
          </c:extLst>
        </c:ser>
        <c:ser>
          <c:idx val="2"/>
          <c:order val="2"/>
          <c:tx>
            <c:strRef>
              <c:f>TOTAL!$B$6</c:f>
              <c:strCache>
                <c:ptCount val="1"/>
                <c:pt idx="0">
                  <c:v>SUPERMERCADO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TOTAL!$C$6:$N$6</c:f>
              <c:numCache>
                <c:formatCode>#\ ##0.00\ "€"</c:formatCode>
                <c:ptCount val="12"/>
                <c:pt idx="0">
                  <c:v>138.70999999999998</c:v>
                </c:pt>
                <c:pt idx="1">
                  <c:v>83.71</c:v>
                </c:pt>
                <c:pt idx="2">
                  <c:v>119.86</c:v>
                </c:pt>
                <c:pt idx="3">
                  <c:v>105.78000000000002</c:v>
                </c:pt>
                <c:pt idx="4">
                  <c:v>34.76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1-44B7-BBD0-0011E19BE402}"/>
            </c:ext>
          </c:extLst>
        </c:ser>
        <c:ser>
          <c:idx val="3"/>
          <c:order val="3"/>
          <c:tx>
            <c:strRef>
              <c:f>TOTAL!$B$7</c:f>
              <c:strCache>
                <c:ptCount val="1"/>
                <c:pt idx="0">
                  <c:v>CARRO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TOTAL!$C$7:$N$7</c:f>
              <c:numCache>
                <c:formatCode>#\ ##0.00\ "€"</c:formatCode>
                <c:ptCount val="12"/>
                <c:pt idx="0">
                  <c:v>65.319999999999993</c:v>
                </c:pt>
                <c:pt idx="1">
                  <c:v>114.25</c:v>
                </c:pt>
                <c:pt idx="2">
                  <c:v>165.14</c:v>
                </c:pt>
                <c:pt idx="3">
                  <c:v>118.08000000000001</c:v>
                </c:pt>
                <c:pt idx="4">
                  <c:v>307.92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81-44B7-BBD0-0011E19BE402}"/>
            </c:ext>
          </c:extLst>
        </c:ser>
        <c:ser>
          <c:idx val="4"/>
          <c:order val="4"/>
          <c:tx>
            <c:strRef>
              <c:f>TOTAL!$B$8</c:f>
              <c:strCache>
                <c:ptCount val="1"/>
                <c:pt idx="0">
                  <c:v>OVERALL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TOTAL!$C$8:$N$8</c:f>
              <c:numCache>
                <c:formatCode>#\ ##0.00\ "€"</c:formatCode>
                <c:ptCount val="12"/>
                <c:pt idx="0">
                  <c:v>424.03</c:v>
                </c:pt>
                <c:pt idx="1">
                  <c:v>210.99</c:v>
                </c:pt>
                <c:pt idx="2">
                  <c:v>540.43000000000006</c:v>
                </c:pt>
                <c:pt idx="3">
                  <c:v>525.52</c:v>
                </c:pt>
                <c:pt idx="4">
                  <c:v>135.65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81-44B7-BBD0-0011E19BE402}"/>
            </c:ext>
          </c:extLst>
        </c:ser>
        <c:ser>
          <c:idx val="5"/>
          <c:order val="5"/>
          <c:tx>
            <c:strRef>
              <c:f>TOTAL!$B$9</c:f>
              <c:strCache>
                <c:ptCount val="1"/>
                <c:pt idx="0">
                  <c:v>EDP (Luz &amp; Gás)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TOTAL!$C$9:$N$9</c:f>
              <c:numCache>
                <c:formatCode>#\ ##0.00\ "€"</c:formatCode>
                <c:ptCount val="12"/>
                <c:pt idx="0">
                  <c:v>38.22</c:v>
                </c:pt>
                <c:pt idx="1">
                  <c:v>46.150000000000006</c:v>
                </c:pt>
                <c:pt idx="2">
                  <c:v>36.72</c:v>
                </c:pt>
                <c:pt idx="3">
                  <c:v>41.47</c:v>
                </c:pt>
                <c:pt idx="4">
                  <c:v>37.39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81-44B7-BBD0-0011E19BE402}"/>
            </c:ext>
          </c:extLst>
        </c:ser>
        <c:ser>
          <c:idx val="6"/>
          <c:order val="6"/>
          <c:tx>
            <c:strRef>
              <c:f>TOTAL!$B$10</c:f>
              <c:strCache>
                <c:ptCount val="1"/>
                <c:pt idx="0">
                  <c:v>SMAS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TOTAL!$C$10:$N$10</c:f>
              <c:numCache>
                <c:formatCode>#\ ##0.00\ "€"</c:formatCode>
                <c:ptCount val="12"/>
                <c:pt idx="0">
                  <c:v>11.989999999999998</c:v>
                </c:pt>
                <c:pt idx="1">
                  <c:v>10.77</c:v>
                </c:pt>
                <c:pt idx="2">
                  <c:v>12.560000000000002</c:v>
                </c:pt>
                <c:pt idx="3">
                  <c:v>10.79</c:v>
                </c:pt>
                <c:pt idx="4">
                  <c:v>13.040000000000001</c:v>
                </c:pt>
                <c:pt idx="5">
                  <c:v>12.18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81-44B7-BBD0-0011E19BE402}"/>
            </c:ext>
          </c:extLst>
        </c:ser>
        <c:ser>
          <c:idx val="7"/>
          <c:order val="7"/>
          <c:tx>
            <c:strRef>
              <c:f>TOTAL!$B$11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TOTAL!$C$3:$N$3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TOTAL!$C$11:$N$11</c:f>
              <c:numCache>
                <c:formatCode>#\ ##0.00\ "€"</c:formatCode>
                <c:ptCount val="12"/>
                <c:pt idx="0">
                  <c:v>1041.6666666666665</c:v>
                </c:pt>
                <c:pt idx="1">
                  <c:v>825.29666666666662</c:v>
                </c:pt>
                <c:pt idx="2">
                  <c:v>1243.7366666666667</c:v>
                </c:pt>
                <c:pt idx="3">
                  <c:v>1188.6066666666668</c:v>
                </c:pt>
                <c:pt idx="4">
                  <c:v>873.34666666666658</c:v>
                </c:pt>
                <c:pt idx="5">
                  <c:v>319.37666666666667</c:v>
                </c:pt>
                <c:pt idx="6">
                  <c:v>307.19666666666666</c:v>
                </c:pt>
                <c:pt idx="7">
                  <c:v>307.19666666666666</c:v>
                </c:pt>
                <c:pt idx="8">
                  <c:v>307.19666666666666</c:v>
                </c:pt>
                <c:pt idx="9">
                  <c:v>307.19666666666666</c:v>
                </c:pt>
                <c:pt idx="10">
                  <c:v>307.19666666666666</c:v>
                </c:pt>
                <c:pt idx="11">
                  <c:v>307.19666666666666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81-44B7-BBD0-0011E19BE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5229455"/>
        <c:axId val="1548841503"/>
      </c:barChart>
      <c:catAx>
        <c:axId val="1905229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48841503"/>
        <c:crosses val="autoZero"/>
        <c:auto val="1"/>
        <c:lblAlgn val="ctr"/>
        <c:lblOffset val="100"/>
        <c:noMultiLvlLbl val="0"/>
      </c:catAx>
      <c:valAx>
        <c:axId val="1548841503"/>
        <c:scaling>
          <c:orientation val="minMax"/>
          <c:max val="12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05229455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10</xdr:row>
      <xdr:rowOff>0</xdr:rowOff>
    </xdr:from>
    <xdr:to>
      <xdr:col>28</xdr:col>
      <xdr:colOff>0</xdr:colOff>
      <xdr:row>25</xdr:row>
      <xdr:rowOff>228599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742DE42-88D4-4922-AEA3-D4C9B007A3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41275</xdr:rowOff>
    </xdr:from>
    <xdr:to>
      <xdr:col>20</xdr:col>
      <xdr:colOff>302683</xdr:colOff>
      <xdr:row>29</xdr:row>
      <xdr:rowOff>25400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1B6C95-6BA0-4423-921D-17F5B3641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33618</xdr:rowOff>
    </xdr:from>
    <xdr:to>
      <xdr:col>22</xdr:col>
      <xdr:colOff>209550</xdr:colOff>
      <xdr:row>40</xdr:row>
      <xdr:rowOff>43143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69731E-805C-4885-A0E0-573C0C21E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86163</xdr:colOff>
      <xdr:row>11</xdr:row>
      <xdr:rowOff>112876</xdr:rowOff>
    </xdr:from>
    <xdr:to>
      <xdr:col>23</xdr:col>
      <xdr:colOff>376731</xdr:colOff>
      <xdr:row>38</xdr:row>
      <xdr:rowOff>112876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DBDA0-396A-4D07-AE2C-23D85C6D1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dro Nuno Pimenta de Carvalho" id="{577CCDAF-22BB-4BCA-BE57-C8740662ABA4}" userId="Pedro Nuno Pimenta de Carvalho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4" dT="2022-01-25T17:49:44.25" personId="{577CCDAF-22BB-4BCA-BE57-C8740662ABA4}" id="{C0CC519E-B458-4F81-A0EC-65B4642B7E01}">
    <text>BTV 9.90€
Meo VídeoClube 5€</text>
  </threadedComment>
  <threadedComment ref="P6" dT="2021-12-24T09:05:42.27" personId="{577CCDAF-22BB-4BCA-BE57-C8740662ABA4}" id="{1281F394-C372-4621-8038-C04718702CA8}">
    <text>Pago através da CTW -&gt; 7.5€ + IVA = 9.23€</text>
  </threadedComment>
  <threadedComment ref="S6" dT="2022-03-14T08:24:22.29" personId="{577CCDAF-22BB-4BCA-BE57-C8740662ABA4}" id="{E3D7266B-ADD5-42E4-A3A2-AF09F9FFD05A}">
    <text>Tarifário Meu + Mãe</text>
  </threadedComment>
  <threadedComment ref="T6" dT="2022-04-11T09:14:19.65" personId="{577CCDAF-22BB-4BCA-BE57-C8740662ABA4}" id="{7EECC9DB-DB00-4225-A233-C913008358C5}">
    <text>Extra - Problemas c/MEO Mãe
Fatura Total - 72.46€</text>
  </threadedComment>
  <threadedComment ref="Q7" dT="2022-01-09T23:04:36.00" personId="{577CCDAF-22BB-4BCA-BE57-C8740662ABA4}" id="{36C7E640-16A7-4B9F-A994-D75403F7428E}">
    <text>9.01
NetFlix (6 meses) 24€</text>
  </threadedComment>
  <threadedComment ref="S7" dT="2022-03-10T08:39:52.52" personId="{577CCDAF-22BB-4BCA-BE57-C8740662ABA4}" id="{5F9E5B71-1C26-467E-985F-9383006A8C0B}">
    <text>10.03
F1TV - 5.99€</text>
  </threadedComment>
  <threadedComment ref="T7" dT="2022-04-25T20:46:15.41" personId="{577CCDAF-22BB-4BCA-BE57-C8740662ABA4}" id="{1F16C7E0-9C41-43E5-AC86-3ED08153A0B2}">
    <text>22.04
F1TV - 5.99€</text>
  </threadedComment>
  <threadedComment ref="H8" dT="2021-05-03T07:10:03.31" personId="{577CCDAF-22BB-4BCA-BE57-C8740662ABA4}" id="{5636C23D-B6D1-4FFD-8E30-E917E89ECB4A}">
    <text>Fatura mais baixa por acerto dos 2 primeiros meses do ano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" dT="2022-04-04T21:02:51.37" personId="{577CCDAF-22BB-4BCA-BE57-C8740662ABA4}" id="{777E73F0-B6A1-4BB5-8FB3-CAB431553D04}">
    <text>Troca da CRC para RMC
38.41€ -&gt; 42.9€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U4" dT="2022-05-07T16:14:26.99" personId="{577CCDAF-22BB-4BCA-BE57-C8740662ABA4}" id="{DC5C9103-A3B2-4AD1-BF3F-2CD953114FC3}">
    <text>BMW</text>
  </threadedComment>
  <threadedComment ref="C5" dT="2022-01-02T23:10:36.72" personId="{577CCDAF-22BB-4BCA-BE57-C8740662ABA4}" id="{9BDBE854-AF72-4DEA-8858-4CC7339FD964}">
    <text>Vermoinho (Pão)</text>
  </threadedComment>
  <threadedComment ref="E5" dT="2022-03-02T14:45:55.66" personId="{577CCDAF-22BB-4BCA-BE57-C8740662ABA4}" id="{83E40461-1595-492B-847E-115C27190852}">
    <text>Continente
Atum; Bróculo; Couve-flor; Fruta; Massa; Pão; Curitas; Patê</text>
  </threadedComment>
  <threadedComment ref="S5" dT="2022-03-03T09:19:54.35" personId="{577CCDAF-22BB-4BCA-BE57-C8740662ABA4}" id="{3E5FBF9E-7463-4D77-BF43-E5412B21F9AB}">
    <text>Seguro Zurich (Abril 2022) - 25.07€</text>
  </threadedComment>
  <threadedComment ref="S5" dT="2022-03-04T00:32:06.37" personId="{577CCDAF-22BB-4BCA-BE57-C8740662ABA4}" id="{80E55879-2CE5-4F2D-B758-7070E62EF1BD}" parentId="{3E5FBF9E-7463-4D77-BF43-E5412B21F9AB}">
    <text>3.03
Lavagem Interior+Exterior Clio 5.45€</text>
  </threadedComment>
  <threadedComment ref="S5" dT="2022-03-04T12:10:33.17" personId="{577CCDAF-22BB-4BCA-BE57-C8740662ABA4}" id="{5B1D0968-8118-480C-865E-944972761E19}" parentId="{3E5FBF9E-7463-4D77-BF43-E5412B21F9AB}">
    <text>4.03
ACP (Cota anual) 68€</text>
  </threadedComment>
  <threadedComment ref="S5" dT="2022-03-04T23:48:20.91" personId="{577CCDAF-22BB-4BCA-BE57-C8740662ABA4}" id="{2A3F0001-D4AB-494F-A381-4EF85B7F3E0A}" parentId="{3E5FBF9E-7463-4D77-BF43-E5412B21F9AB}">
    <text>4.03
Lavagem exterior 2€</text>
  </threadedComment>
  <threadedComment ref="T5" dT="2022-04-01T08:30:23.15" personId="{577CCDAF-22BB-4BCA-BE57-C8740662ABA4}" id="{64F185A7-01C6-4B65-9A4C-6ED30B40ABC6}">
    <text>Seguro Zurich - 25.07€</text>
  </threadedComment>
  <threadedComment ref="T5" dT="2022-04-03T17:31:57.02" personId="{577CCDAF-22BB-4BCA-BE57-C8740662ABA4}" id="{F288BD80-34AF-4847-BE9C-F3601D000D73}" parentId="{64F185A7-01C6-4B65-9A4C-6ED30B40ABC6}">
    <text>3.04
Lavagem Interior+Exterior 3.5€</text>
  </threadedComment>
  <threadedComment ref="Q6" dT="2022-01-23T15:43:17.34" personId="{577CCDAF-22BB-4BCA-BE57-C8740662ABA4}" id="{F6B91984-4967-41DA-947C-1B6867F6DF87}">
    <text>14.01
Gamobar (Adblue) - 48.98€</text>
  </threadedComment>
  <threadedComment ref="U6" dT="2022-05-06T06:38:35.13" personId="{577CCDAF-22BB-4BCA-BE57-C8740662ABA4}" id="{4F42E841-78C5-409F-807D-2B016C92D9A4}">
    <text>5.05
IUC Série 1 - 224.94€</text>
  </threadedComment>
  <threadedComment ref="C7" dT="2022-01-04T18:43:18.92" personId="{577CCDAF-22BB-4BCA-BE57-C8740662ABA4}" id="{433445E0-4D12-40F0-97B3-86B43282A6A3}">
    <text>LIDL
Atum; Laranjas; Carne picada; Batata Frita; Palmiers</text>
  </threadedComment>
  <threadedComment ref="G7" dT="2022-05-04T22:42:03.05" personId="{577CCDAF-22BB-4BCA-BE57-C8740662ABA4}" id="{DA090E59-BF67-404D-8AF3-4436E871F71F}">
    <text>Pão</text>
  </threadedComment>
  <threadedComment ref="F9" dT="2022-04-06T20:56:31.44" personId="{577CCDAF-22BB-4BCA-BE57-C8740662ABA4}" id="{8D24CE1A-D9A6-402B-8989-026A6C034C94}">
    <text>Continente
Salsichas Aves; Espanador; Batatas Fritas; Cenoura; Pão; Café; Queijo; Curitas; Leite x12</text>
  </threadedComment>
  <threadedComment ref="G10" dT="2022-05-07T16:17:16.05" personId="{577CCDAF-22BB-4BCA-BE57-C8740662ABA4}" id="{9940B8EF-E4F3-4B74-933E-30E432ADF22B}">
    <text>Continente (Desconto 10.25€)
Iogurtes; Ovos; Fruta; Pão Girassol; Pleno; Máscaras; Salmão; Hamburgueres; Bróculo; Couve Flor; Chocolate Milka; Muesli; Bolachas Pro-alimentar</text>
  </threadedComment>
  <threadedComment ref="S11" dT="2022-03-29T23:44:16.65" personId="{577CCDAF-22BB-4BCA-BE57-C8740662ABA4}" id="{CA8DD2DE-AE80-46BB-83C8-4448898AE09F}">
    <text>29.03
Impressora - 75.9€</text>
  </threadedComment>
  <threadedComment ref="C12" dT="2022-01-09T15:20:56.67" personId="{577CCDAF-22BB-4BCA-BE57-C8740662ABA4}" id="{C70E3179-0D81-46BC-A4F3-06F59CA4D7A3}">
    <text>Vermoinho 1.3€</text>
  </threadedComment>
  <threadedComment ref="C12" dT="2022-01-09T15:21:55.08" personId="{577CCDAF-22BB-4BCA-BE57-C8740662ABA4}" id="{7D2D2BDD-C28B-475F-A7CF-EB7A511EA2CC}" parentId="{C70E3179-0D81-46BC-A4F3-06F59CA4D7A3}">
    <text>LIDL
Leite; Queijo; Bróculos; Couve Flor; Cenouras, Fruta; Sacos Lixo; Gel banho; Manteiga</text>
  </threadedComment>
  <threadedComment ref="F12" dT="2022-04-10T09:38:55.84" personId="{577CCDAF-22BB-4BCA-BE57-C8740662ABA4}" id="{39F39976-319B-48AC-B449-58AA5DBACF73}">
    <text>Continente
Salmão</text>
  </threadedComment>
  <threadedComment ref="Q12" dT="2022-01-04T18:43:58.76" personId="{577CCDAF-22BB-4BCA-BE57-C8740662ABA4}" id="{C55B0FDC-8EF9-4D4A-8A25-4F958C36D0B9}">
    <text>Racket City (Padel)
Sapatilhas HEAD 90€
Racket HEAD Delta 115€</text>
  </threadedComment>
  <threadedComment ref="Q12" dT="2022-01-08T18:43:50.75" personId="{577CCDAF-22BB-4BCA-BE57-C8740662ABA4}" id="{F3604A57-A979-457E-9270-E4F3489EE5DF}" parentId="{C55B0FDC-8EF9-4D4A-8A25-4F958C36D0B9}">
    <text>8.01
Cuecas Intimissimi (50%Desc) 38.7€</text>
  </threadedComment>
  <threadedComment ref="Q12" dT="2022-01-26T08:57:36.56" personId="{577CCDAF-22BB-4BCA-BE57-C8740662ABA4}" id="{323429BE-5042-40DA-AEB6-BADD7FF7D71C}" parentId="{C55B0FDC-8EF9-4D4A-8A25-4F958C36D0B9}">
    <text>26.01
Billabong (Desconto 20%) 
2 T-Shirts
48€</text>
  </threadedComment>
  <threadedComment ref="R12" dT="2022-02-24T17:47:34.12" personId="{577CCDAF-22BB-4BCA-BE57-C8740662ABA4}" id="{3E532B98-727A-4BFA-82FF-F36DDC00664D}">
    <text>24.02
Telemóvel Mãe 32.5€</text>
  </threadedComment>
  <threadedComment ref="T12" dT="2022-04-15T21:01:05.34" personId="{577CCDAF-22BB-4BCA-BE57-C8740662ABA4}" id="{51CF2BDB-7F13-4E56-AD4F-2777DC2D8711}">
    <text>Adidas
Stan Smith - 100€</text>
  </threadedComment>
  <threadedComment ref="E13" dT="2022-03-10T21:31:23.53" personId="{577CCDAF-22BB-4BCA-BE57-C8740662ABA4}" id="{46B7DAE9-FB76-4CEB-9A46-1C13687A89CF}">
    <text>Continente
Douradinhos Frango; Queijo; Pão brioche; Patê; Atum; Nestum; Detergente WC; Ambientador WC; Batata frita; Guardanapos; M&amp;Ms</text>
  </threadedComment>
  <threadedComment ref="F13" dT="2022-04-11T06:47:07.87" personId="{577CCDAF-22BB-4BCA-BE57-C8740662ABA4}" id="{382CD8A3-CAE9-4478-ABD3-349B34117973}">
    <text>Vermoinho (Regueifa)</text>
  </threadedComment>
  <threadedComment ref="S13" dT="2022-03-04T00:31:08.99" personId="{577CCDAF-22BB-4BCA-BE57-C8740662ABA4}" id="{229A51B8-D83C-42ED-B4DD-B725A18E3603}">
    <text>3.03
Jantar Migu 15.8€ (Tourigalo)</text>
  </threadedComment>
  <threadedComment ref="S13" dT="2022-03-18T10:02:51.85" personId="{577CCDAF-22BB-4BCA-BE57-C8740662ABA4}" id="{2EFF4C12-F7CD-4C0F-B30D-25633E6D46B3}" parentId="{229A51B8-D83C-42ED-B4DD-B725A18E3603}">
    <text>17.03
Almoço Susana Coach - 22.3€</text>
  </threadedComment>
  <threadedComment ref="S13" dT="2022-03-20T14:55:00.91" personId="{577CCDAF-22BB-4BCA-BE57-C8740662ABA4}" id="{C088911B-CDE7-4408-8BFE-42AF89473C36}" parentId="{229A51B8-D83C-42ED-B4DD-B725A18E3603}">
    <text>19.03
Concerto CCOP -10€</text>
  </threadedComment>
  <threadedComment ref="S13" dT="2022-03-29T23:43:32.18" personId="{577CCDAF-22BB-4BCA-BE57-C8740662ABA4}" id="{23B203C4-95DD-4BEB-B41A-96A6946DF850}" parentId="{229A51B8-D83C-42ED-B4DD-B725A18E3603}">
    <text>29.03
Jantar Ex-B*osch team - 15.17€</text>
  </threadedComment>
  <threadedComment ref="T13" dT="2022-04-02T22:25:25.84" personId="{577CCDAF-22BB-4BCA-BE57-C8740662ABA4}" id="{62C950A1-34BD-478F-A26D-E55A1F1C9603}">
    <text>2.04
Restaurante A Cabana (Apúlia) - Aniv Mãe
69.6€</text>
  </threadedComment>
  <threadedComment ref="T13" dT="2022-04-09T05:59:08.21" personId="{577CCDAF-22BB-4BCA-BE57-C8740662ABA4}" id="{8889CEF5-E2B5-46D1-AE9C-1B00528DE35B}" parentId="{62C950A1-34BD-478F-A26D-E55A1F1C9603}">
    <text>8.04
Cinema + Pipocas (5.25+4.9€)</text>
  </threadedComment>
  <threadedComment ref="T13" dT="2022-04-16T14:24:10.69" personId="{577CCDAF-22BB-4BCA-BE57-C8740662ABA4}" id="{93307C03-B3F1-4EFB-AB4C-966D5BCDAAC2}" parentId="{62C950A1-34BD-478F-A26D-E55A1F1C9603}">
    <text>16.04
Almoço "Juventude de Ouro" - 9€</text>
  </threadedComment>
  <threadedComment ref="T13" dT="2022-04-25T20:45:50.94" personId="{577CCDAF-22BB-4BCA-BE57-C8740662ABA4}" id="{B4F290F1-E4FE-4C35-AE5C-B2BCCF11029D}" parentId="{62C950A1-34BD-478F-A26D-E55A1F1C9603}">
    <text>22.04
Jantar Café Neiza - 10€</text>
  </threadedComment>
  <threadedComment ref="T13" dT="2022-04-25T20:46:52.16" personId="{577CCDAF-22BB-4BCA-BE57-C8740662ABA4}" id="{DF629BCC-546F-4303-8DCA-12C4780FB94E}" parentId="{62C950A1-34BD-478F-A26D-E55A1F1C9603}">
    <text>24.04
Almoço Leiria - 50.20€</text>
  </threadedComment>
  <threadedComment ref="T13" dT="2022-05-01T23:30:35.68" personId="{577CCDAF-22BB-4BCA-BE57-C8740662ABA4}" id="{B417CAA3-23BF-44B5-813C-8CB99F4B9A92}" parentId="{62C950A1-34BD-478F-A26D-E55A1F1C9603}">
    <text>28.04
Jantar Leiria - 10.95€</text>
  </threadedComment>
  <threadedComment ref="T13" dT="2022-05-01T23:31:36.07" personId="{577CCDAF-22BB-4BCA-BE57-C8740662ABA4}" id="{1A1E21BE-68D2-47E5-8A6D-CD61596EF409}" parentId="{62C950A1-34BD-478F-A26D-E55A1F1C9603}">
    <text>29.04
Almoço + Jantar (Portel) - 13+19€</text>
  </threadedComment>
  <threadedComment ref="T13" dT="2022-05-01T23:33:27.37" personId="{577CCDAF-22BB-4BCA-BE57-C8740662ABA4}" id="{11D4DC5D-C0A2-4860-831C-2ECE4E6BC4B4}" parentId="{62C950A1-34BD-478F-A26D-E55A1F1C9603}">
    <text>30.04
Almoço Portel - 12.5€</text>
  </threadedComment>
  <threadedComment ref="U13" dT="2022-05-07T16:13:58.01" personId="{577CCDAF-22BB-4BCA-BE57-C8740662ABA4}" id="{CF3EAADC-F350-45CE-86C7-5C7CC715AC05}">
    <text>7.05
Almoço c/Mãe (Cabana - Apúlia) - 39.05€</text>
  </threadedComment>
  <threadedComment ref="U13" dT="2022-05-10T23:32:00.14" personId="{577CCDAF-22BB-4BCA-BE57-C8740662ABA4}" id="{8863CC23-46DA-462F-A476-160D2B4D8A38}" parentId="{CF3EAADC-F350-45CE-86C7-5C7CC715AC05}">
    <text>10.05
Café Marina do Freixo 4.2€</text>
  </threadedComment>
  <threadedComment ref="Q14" dT="2022-01-14T10:08:24.35" personId="{577CCDAF-22BB-4BCA-BE57-C8740662ABA4}" id="{37EA4799-DBAA-478C-9522-AA4923D6751F}">
    <text>13.01
DeGema 9.95€</text>
  </threadedComment>
  <threadedComment ref="R14" dT="2022-02-01T22:38:12.04" personId="{577CCDAF-22BB-4BCA-BE57-C8740662ABA4}" id="{33E35B1E-7D98-4FE3-893D-902D7CA9BEDA}">
    <text>01.02 - CSW
Almoço (10€) + Café (0.35€)</text>
  </threadedComment>
  <threadedComment ref="S14" dT="2022-03-16T10:13:39.78" personId="{577CCDAF-22BB-4BCA-BE57-C8740662ABA4}" id="{A4E84F6A-BAFD-4360-B7C1-6854E0EE915D}">
    <text>15.03
CSW - Almoço + Café (10.7€)</text>
  </threadedComment>
  <threadedComment ref="S14" dT="2022-03-28T20:23:08.91" personId="{577CCDAF-22BB-4BCA-BE57-C8740662ABA4}" id="{0A3FC3F8-751B-4EE0-8411-D5F3016BFD35}" parentId="{A4E84F6A-BAFD-4360-B7C1-6854E0EE915D}">
    <text>28.03
CSW - Almoço 15€</text>
  </threadedComment>
  <threadedComment ref="T14" dT="2022-04-09T05:59:53.88" personId="{577CCDAF-22BB-4BCA-BE57-C8740662ABA4}" id="{B0B4D9D4-4ADD-460A-A2DB-FA32AE733C78}">
    <text>8.04
Almoço CTW (Conga) - 10.6€</text>
  </threadedComment>
  <threadedComment ref="T14" dT="2022-04-14T07:37:47.04" personId="{577CCDAF-22BB-4BCA-BE57-C8740662ABA4}" id="{989972B9-4E80-4389-919D-2A94E5499F69}" parentId="{B0B4D9D4-4ADD-460A-A2DB-FA32AE733C78}">
    <text>13.04
Almoço CTW (Bonche) - 13.4€</text>
  </threadedComment>
  <threadedComment ref="T14" dT="2022-04-18T21:24:29.79" personId="{577CCDAF-22BB-4BCA-BE57-C8740662ABA4}" id="{613656DC-034E-4EB4-913E-D3CF454CFD22}" parentId="{B0B4D9D4-4ADD-460A-A2DB-FA32AE733C78}">
    <text>18.04
Café + Almoço CTW - 0.3+7.5€</text>
  </threadedComment>
  <threadedComment ref="T14" dT="2022-04-25T20:43:51.99" personId="{577CCDAF-22BB-4BCA-BE57-C8740662ABA4}" id="{DE9F3EE3-A3D8-4628-9DEB-CD9B6BCD2B3E}" parentId="{B0B4D9D4-4ADD-460A-A2DB-FA32AE733C78}">
    <text>22.04
Peq Almoço (CSW) - 4.80€
Almoço (CSW) - 10€
Snack (Kit-Kat+Coca) - 0.75+0.95€</text>
  </threadedComment>
  <threadedComment ref="U14" dT="2022-05-02T23:20:19.67" personId="{577CCDAF-22BB-4BCA-BE57-C8740662ABA4}" id="{B71DD9E0-70A6-4226-87AE-B46B556EC73B}">
    <text>3.05
CTW - Almoço+Garrafa Água (0.4+8.5€)</text>
  </threadedComment>
  <threadedComment ref="U14" dT="2022-05-07T16:12:42.22" personId="{577CCDAF-22BB-4BCA-BE57-C8740662ABA4}" id="{57D81858-3930-48F5-AEF5-E48BF06AA5E3}" parentId="{B71DD9E0-70A6-4226-87AE-B46B556EC73B}">
    <text>6.05
Almoço CTW - 10€</text>
  </threadedComment>
  <threadedComment ref="U14" dT="2022-05-10T23:32:25.36" personId="{577CCDAF-22BB-4BCA-BE57-C8740662ABA4}" id="{821788FF-93C2-4A9B-88E7-EA72856DCD9A}" parentId="{B71DD9E0-70A6-4226-87AE-B46B556EC73B}">
    <text>10.05
Almoço CTW - 8.5€</text>
  </threadedComment>
  <threadedComment ref="E15" dT="2022-03-12T14:08:08.31" personId="{577CCDAF-22BB-4BCA-BE57-C8740662ABA4}" id="{3D3E1A87-6A96-47BF-9471-4A56949C33C8}">
    <text>Rainha da Foz (Pão + Fiambre)</text>
  </threadedComment>
  <threadedComment ref="F15" dT="2022-04-12T17:06:07.02" personId="{577CCDAF-22BB-4BCA-BE57-C8740662ABA4}" id="{C928CF53-BE8D-48F8-A3F2-08F8F140E4BC}">
    <text>Continente
Iogurtes; Recargas espanador; Patê; Batatas; Lenços papel; Douradinhos; Sacos Lixo; Pleno; Belgas; Bolachas crackers</text>
  </threadedComment>
  <threadedComment ref="Q15" dT="2022-01-08T12:39:22.18" personId="{577CCDAF-22BB-4BCA-BE57-C8740662ABA4}" id="{99BF2972-6336-45C2-AD9F-BBA0B7804231}">
    <text>8.01
Revista "Carros" 1.5€</text>
  </threadedComment>
  <threadedComment ref="R15" dT="2022-02-02T14:20:58.18" personId="{577CCDAF-22BB-4BCA-BE57-C8740662ABA4}" id="{1A631441-6612-4004-91BC-324801AD4A56}">
    <text>2.02
JSC (Euromilhões) 10.67€</text>
  </threadedComment>
  <threadedComment ref="R15" dT="2022-02-24T17:48:51.33" personId="{577CCDAF-22BB-4BCA-BE57-C8740662ABA4}" id="{F4389EC2-F294-4B36-9055-7AA11194DE45}" parentId="{1A631441-6612-4004-91BC-324801AD4A56}">
    <text>24.02
Inspeção Gás Mãe 60€</text>
  </threadedComment>
  <threadedComment ref="R15" dT="2022-02-28T21:36:07.58" personId="{577CCDAF-22BB-4BCA-BE57-C8740662ABA4}" id="{048D0E8E-881B-4105-97C5-A759197ABB9D}" parentId="{1A631441-6612-4004-91BC-324801AD4A56}">
    <text>SMAS Mãe Fevereiro 16.22€</text>
  </threadedComment>
  <threadedComment ref="S15" dT="2022-03-02T14:47:19.12" personId="{577CCDAF-22BB-4BCA-BE57-C8740662ABA4}" id="{EFBAAFF4-E1C0-4B72-8AF9-E43F4CEF8C1C}">
    <text>Jazigo Pai - 90€</text>
  </threadedComment>
  <threadedComment ref="S15" dT="2022-03-07T11:17:36.04" personId="{577CCDAF-22BB-4BCA-BE57-C8740662ABA4}" id="{3ED95673-4E79-4EBF-8D27-383FD9F3BC9F}" parentId="{EFBAAFF4-E1C0-4B72-8AF9-E43F4CEF8C1C}">
    <text>Missa Mês Pai - 12€</text>
  </threadedComment>
  <threadedComment ref="S15" dT="2022-03-11T22:43:16.57" personId="{577CCDAF-22BB-4BCA-BE57-C8740662ABA4}" id="{5D4CD736-6535-49A9-AB35-25913532CA17}" parentId="{EFBAAFF4-E1C0-4B72-8AF9-E43F4CEF8C1C}">
    <text>11.03
Estacionamento Fisio - 0.8€</text>
  </threadedComment>
  <threadedComment ref="S15" dT="2022-03-19T13:44:55.76" personId="{577CCDAF-22BB-4BCA-BE57-C8740662ABA4}" id="{63695E2F-DD26-4C6C-B0A4-6AEE02D5C3EF}" parentId="{EFBAAFF4-E1C0-4B72-8AF9-E43F4CEF8C1C}">
    <text>19.03
Flores Pai -10€</text>
  </threadedComment>
  <threadedComment ref="S15" dT="2022-03-26T12:43:21.84" personId="{577CCDAF-22BB-4BCA-BE57-C8740662ABA4}" id="{3DE4DF98-FE9D-470B-A0E8-4D8FA1E7A84D}" parentId="{EFBAAFF4-E1C0-4B72-8AF9-E43F4CEF8C1C}">
    <text>26.03
Bola Taça Barqueiros 17€</text>
  </threadedComment>
  <threadedComment ref="S15" dT="2022-03-31T07:58:53.42" personId="{577CCDAF-22BB-4BCA-BE57-C8740662ABA4}" id="{A4B907F6-3C68-4CB3-B5B6-99E027D51546}" parentId="{EFBAAFF4-E1C0-4B72-8AF9-E43F4CEF8C1C}">
    <text>30.03
Velas - 20€</text>
  </threadedComment>
  <threadedComment ref="T15" dT="2022-04-02T22:25:45.60" personId="{577CCDAF-22BB-4BCA-BE57-C8740662ABA4}" id="{9B11CC17-CC65-48B6-98FF-BB2AF4074D5C}">
    <text>2.04
Flores Mãe 25€</text>
  </threadedComment>
  <threadedComment ref="T15" dT="2022-04-14T07:42:14.17" personId="{577CCDAF-22BB-4BCA-BE57-C8740662ABA4}" id="{908ECCC9-5673-409E-AEC2-7695FB0928A2}" parentId="{9B11CC17-CC65-48B6-98FF-BB2AF4074D5C}">
    <text>14.04
JSC (Euromilhões) - 15.32€</text>
  </threadedComment>
  <threadedComment ref="T15" dT="2022-04-26T20:30:48.58" personId="{577CCDAF-22BB-4BCA-BE57-C8740662ABA4}" id="{C1AEC28B-F439-42CA-A3DD-C00780C7F6C7}" parentId="{9B11CC17-CC65-48B6-98FF-BB2AF4074D5C}">
    <text>26.04
Bola Minigolfe "Big Shoot" - 22€</text>
  </threadedComment>
  <threadedComment ref="T15" dT="2022-05-02T06:46:00.82" personId="{577CCDAF-22BB-4BCA-BE57-C8740662ABA4}" id="{DD9D21CF-2F24-4259-B800-9EF750136B0A}" parentId="{9B11CC17-CC65-48B6-98FF-BB2AF4074D5C}">
    <text>1.05
Cartão FNAC 15€</text>
  </threadedComment>
  <threadedComment ref="U15" dT="2022-05-04T07:05:47.52" personId="{577CCDAF-22BB-4BCA-BE57-C8740662ABA4}" id="{3347CCF5-2885-45F4-8B2B-78E9E014928F}">
    <text>3.05
Velas 6.5€</text>
  </threadedComment>
  <threadedComment ref="U15" dT="2022-05-07T16:13:17.39" personId="{577CCDAF-22BB-4BCA-BE57-C8740662ABA4}" id="{7E825AEC-1E55-43DF-8D50-D80F265B3127}" parentId="{3347CCF5-2885-45F4-8B2B-78E9E014928F}">
    <text>7.05
Velas 11€ (Caixa)</text>
  </threadedComment>
  <threadedComment ref="U15" dT="2022-05-08T18:29:31.34" personId="{577CCDAF-22BB-4BCA-BE57-C8740662ABA4}" id="{DA9AD83A-0390-432C-848B-241598835FBF}" parentId="{3347CCF5-2885-45F4-8B2B-78E9E014928F}">
    <text>8.05
Revista Carros 1.5€</text>
  </threadedComment>
  <threadedComment ref="E16" dT="2022-03-13T16:40:05.22" personId="{577CCDAF-22BB-4BCA-BE57-C8740662ABA4}" id="{27F460FC-4D42-4D7C-A75B-A293D0CB5D68}">
    <text>Continente
Pão Girassol; Arroz; Fruta; Bolachas; Lombinhos Frango; Ovos</text>
  </threadedComment>
  <threadedComment ref="Q16" dT="2022-01-12T23:03:58.85" personId="{577CCDAF-22BB-4BCA-BE57-C8740662ABA4}" id="{A7713482-39FD-4758-B11A-90FC630245EB}">
    <text>12.01
Farmácia - Saco Gel Nexacare 13.88€</text>
  </threadedComment>
  <threadedComment ref="Q16" dT="2022-01-18T18:52:17.44" personId="{577CCDAF-22BB-4BCA-BE57-C8740662ABA4}" id="{3A94E414-D09B-46BD-AD5D-D4614183A207}" parentId="{A7713482-39FD-4758-B11A-90FC630245EB}">
    <text>18.01
Consulta Physis 15€</text>
  </threadedComment>
  <threadedComment ref="S16" dT="2022-03-04T00:30:22.67" personId="{577CCDAF-22BB-4BCA-BE57-C8740662ABA4}" id="{B17B21BB-92D9-42DD-ACEF-0D1A24527D43}">
    <text>3.03
Medicamentos Tia Fátima 6.37€</text>
  </threadedComment>
  <threadedComment ref="S16" dT="2022-03-14T08:25:41.05" personId="{577CCDAF-22BB-4BCA-BE57-C8740662ABA4}" id="{60CFC0BF-3E03-47FF-9D53-47E57B3F1B77}" parentId="{B17B21BB-92D9-42DD-ACEF-0D1A24527D43}">
    <text>9.03
Fisio (Tratamentos +2ª Consulta) - 30,12€</text>
  </threadedComment>
  <threadedComment ref="S16" dT="2022-03-31T07:59:19.99" personId="{577CCDAF-22BB-4BCA-BE57-C8740662ABA4}" id="{077E46A8-EE2A-4936-AB1F-1911E1ED1912}" parentId="{B17B21BB-92D9-42DD-ACEF-0D1A24527D43}">
    <text>30.03
Fisio (Tratamentos +3ª Consulta) - 30,12€</text>
  </threadedComment>
  <threadedComment ref="S16" dT="2022-03-31T18:45:29.44" personId="{577CCDAF-22BB-4BCA-BE57-C8740662ABA4}" id="{D85890E5-2AE5-49A3-9ABE-EE3454AEBF4D}" parentId="{B17B21BB-92D9-42DD-ACEF-0D1A24527D43}">
    <text>31.03
Hospital da Luz - Ecografia Joelho 12.5€</text>
  </threadedComment>
  <threadedComment ref="S17" dT="2022-03-18T14:29:55.81" personId="{577CCDAF-22BB-4BCA-BE57-C8740662ABA4}" id="{F576DD7B-E2FE-4185-A300-14524914DC55}">
    <text>18.03
Livros Sinek - 28.8€
"Start with why"
"O jogo infinito"</text>
  </threadedComment>
  <threadedComment ref="C18" dT="2022-01-15T17:34:30.33" personId="{577CCDAF-22BB-4BCA-BE57-C8740662ABA4}" id="{7C9E7E2F-09E1-4F83-BDAC-DFF6A13F0A05}">
    <text>LIDL - 10.76€
Fruta; Pão; Bróculo; Ovos; Hamburgueres novilhos;</text>
  </threadedComment>
  <threadedComment ref="C18" dT="2022-01-15T17:35:56.03" personId="{577CCDAF-22BB-4BCA-BE57-C8740662ABA4}" id="{CDED26AC-58BF-4EE3-B1F6-AA0F01E0BD8C}" parentId="{7C9E7E2F-09E1-4F83-BDAC-DFF6A13F0A05}">
    <text>Continente - 27,69€
Patê Atum; Vinagre Balsâmico; Salsichas Aves; Batata Frita; Pleno; Esfregões Vileda; Massa Cotovelos; Perca; Salmão; Cápsulas Café</text>
  </threadedComment>
  <threadedComment ref="C19" dT="2022-01-16T15:37:22.71" personId="{577CCDAF-22BB-4BCA-BE57-C8740662ABA4}" id="{048BF275-F40A-4F80-8576-C4111B7660C7}">
    <text>Vermoinho (Pão)</text>
  </threadedComment>
  <threadedComment ref="C22" dT="2022-01-19T16:50:40.05" personId="{577CCDAF-22BB-4BCA-BE57-C8740662ABA4}" id="{47EFD7C9-0274-4C20-91DE-0CC5A20B1AA6}">
    <text>Continente
Delicias do Mar; Queijo; Limões; Bróculos; Couve Flor; Chá; Batata Frita; Salsicha Aves; Polpa Tomate; Iogurtes; Pão Brioche</text>
  </threadedComment>
  <threadedComment ref="E22" dT="2022-03-19T13:44:20.48" personId="{577CCDAF-22BB-4BCA-BE57-C8740662ABA4}" id="{A0CA4424-4454-4FFF-A380-5996561577D4}">
    <text>Rainha da Foz (Pão + Fiambre)</text>
  </threadedComment>
  <threadedComment ref="F22" dT="2022-04-20T11:58:18.98" personId="{577CCDAF-22BB-4BCA-BE57-C8740662ABA4}" id="{3A99EDA9-DA50-4968-9B77-9217D814C9C7}">
    <text>Pão</text>
  </threadedComment>
  <threadedComment ref="E23" dT="2022-03-20T14:55:15.92" personId="{577CCDAF-22BB-4BCA-BE57-C8740662ABA4}" id="{065878F5-569A-41AF-963F-37AFAC01BA55}">
    <text>Vermoinho (Regueifa)</text>
  </threadedComment>
  <threadedComment ref="E25" dT="2022-03-22T18:36:16.48" personId="{577CCDAF-22BB-4BCA-BE57-C8740662ABA4}" id="{3583292A-BD57-4947-8209-BF8B634DBB01}">
    <text>Recheio</text>
  </threadedComment>
  <threadedComment ref="C26" dT="2022-01-23T15:42:23.24" personId="{577CCDAF-22BB-4BCA-BE57-C8740662ABA4}" id="{7D2836C5-FC5A-4B59-9EAE-37DD3E330BAD}">
    <text>Vermoinho Pão</text>
  </threadedComment>
  <threadedComment ref="C27" dT="2022-01-24T12:42:47.49" personId="{577CCDAF-22BB-4BCA-BE57-C8740662ABA4}" id="{A5CECF40-6287-409D-88FB-80F4686AD42C}">
    <text>Continente
Leite; Fruta; Filtros Máq. Café; Batata Frita; Pleno; Queijo; Rolo Cozinha</text>
  </threadedComment>
  <threadedComment ref="D27" dT="2022-02-24T17:47:01.62" personId="{577CCDAF-22BB-4BCA-BE57-C8740662ABA4}" id="{193EA70C-26FB-49A3-A5D1-CBD608E86B21}">
    <text>Continente
Douradinhos; Salmão; Abacaxi; Papel Higiénico; Rolo Cozinha; Pão; Manteiga; Pão Leite; Iogurtes; Açucar; Esparguete</text>
  </threadedComment>
  <threadedComment ref="D29" dT="2022-02-27T00:40:30.52" personId="{577CCDAF-22BB-4BCA-BE57-C8740662ABA4}" id="{A31ECC6C-C4A4-4FE2-831D-8E1C26FE9596}">
    <text>Continente
Pão; Carne (Entrecosto, Salsichas, Peru)</text>
  </threadedComment>
  <threadedComment ref="E29" dT="2022-03-29T23:45:56.43" personId="{577CCDAF-22BB-4BCA-BE57-C8740662ABA4}" id="{759E56AF-19E7-4EF8-ABD4-40614B61BE2C}">
    <text>Rainha da Foz</text>
  </threadedComment>
  <threadedComment ref="F29" dT="2022-04-26T20:33:45.86" personId="{577CCDAF-22BB-4BCA-BE57-C8740662ABA4}" id="{73CAB3F1-C4EC-4404-A4D9-832D322BB1A6}">
    <text>Continente
Salsichas; Batatas Fritas; Leite (6+6 Mãe) ; Papel Higiénico (12+12 Mãe) ; Atum (2+3 Mãe) ; Pão Brioche ; Pão Girassol; Nestum; Bolachas; Patê</text>
  </threadedComment>
  <threadedComment ref="C32" dT="2022-01-29T15:10:57.68" personId="{577CCDAF-22BB-4BCA-BE57-C8740662ABA4}" id="{86F25295-C685-4FFA-9FA3-DBFEE3E0C1D5}">
    <text>Continente
Pão Brioche; Laranjas; Azeite; Água; Batata Frita; Óleo; Patê; Iogurtes; Shampoo; Esparguete; Pão; Cenouras</text>
  </threadedComment>
  <threadedComment ref="C33" dT="2022-01-30T15:23:07.02" personId="{577CCDAF-22BB-4BCA-BE57-C8740662ABA4}" id="{563F1ACA-F70B-46C0-960D-EDF43DBB9E92}">
    <text>Vermoinho (Pão)</text>
  </threadedComment>
  <threadedComment ref="E34" dT="2022-03-31T18:45:08.68" personId="{577CCDAF-22BB-4BCA-BE57-C8740662ABA4}" id="{0905947D-8804-4831-8977-9280F84C9BBA}">
    <text>Continente
Brócolo; Couve-flor; Cenouras; Pate; Batatas fritas; Salsichas; Pão de leite; Desinfectante mãos; Creme Nivea; Atum; Pleno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Q5" dT="2022-01-03T09:18:46.48" personId="{577CCDAF-22BB-4BCA-BE57-C8740662ABA4}" id="{98ED3420-4141-4B3B-99F5-28889EA1755D}">
    <text>Via Verde -&gt; 6.45€</text>
  </threadedComment>
  <threadedComment ref="Q5" dT="2022-01-20T08:36:56.05" personId="{577CCDAF-22BB-4BCA-BE57-C8740662ABA4}" id="{F1D74CDE-5726-4581-BE7A-D00567E7EC42}" parentId="{98ED3420-4141-4B3B-99F5-28889EA1755D}">
    <text>19.01
Aniversário Pais - 200€</text>
  </threadedComment>
  <threadedComment ref="Q5" dT="2022-01-29T16:55:38.43" personId="{577CCDAF-22BB-4BCA-BE57-C8740662ABA4}" id="{E16F7911-1200-4225-88AA-CE2D0E24F301}" parentId="{98ED3420-4141-4B3B-99F5-28889EA1755D}">
    <text>"Reembolso" Concerto Bryan Adams
30€</text>
  </threadedComment>
  <threadedComment ref="Q5" dT="2022-03-05T09:39:22.37" personId="{577CCDAF-22BB-4BCA-BE57-C8740662ABA4}" id="{4870911A-0617-4AC6-BBE0-F02CF5BE7E1E}" parentId="{98ED3420-4141-4B3B-99F5-28889EA1755D}">
    <text>IVaucher 5€</text>
  </threadedComment>
  <threadedComment ref="R5" dT="2022-02-01T22:36:50.48" personId="{577CCDAF-22BB-4BCA-BE57-C8740662ABA4}" id="{9DD58A29-EBEC-4068-BCF1-745626330694}">
    <text>Via Verde - 7€</text>
  </threadedComment>
  <threadedComment ref="R5" dT="2022-03-05T09:39:27.08" personId="{577CCDAF-22BB-4BCA-BE57-C8740662ABA4}" id="{ABF4AF39-F856-4854-A471-CDEE22ED2D98}" parentId="{9DD58A29-EBEC-4068-BCF1-745626330694}">
    <text>IVaucher 5€</text>
  </threadedComment>
  <threadedComment ref="S5" dT="2022-03-04T12:09:55.67" personId="{577CCDAF-22BB-4BCA-BE57-C8740662ABA4}" id="{15A395E2-5692-452C-B537-A07360194F97}">
    <text>Via Verde - 16.65€</text>
  </threadedComment>
  <threadedComment ref="S5" dT="2022-03-05T09:39:31.01" personId="{577CCDAF-22BB-4BCA-BE57-C8740662ABA4}" id="{5E0328F4-0133-4C95-AB75-0FBEA55B21D1}" parentId="{15A395E2-5692-452C-B537-A07360194F97}">
    <text>IVaucher 5€</text>
  </threadedComment>
  <threadedComment ref="S5" dT="2022-03-08T21:54:36.48" personId="{577CCDAF-22BB-4BCA-BE57-C8740662ABA4}" id="{D02CCC3C-0749-41D7-8428-209E27C6CD45}" parentId="{15A395E2-5692-452C-B537-A07360194F97}">
    <text>IVaucher 15€</text>
  </threadedComment>
  <threadedComment ref="T5" dT="2022-04-03T07:46:46.25" personId="{577CCDAF-22BB-4BCA-BE57-C8740662ABA4}" id="{C6879A79-3F44-4AFC-B367-5517DFA5D1E5}">
    <text>Via Verde - 11.9€+7.5€
(Alteração contrato)</text>
  </threadedComment>
  <threadedComment ref="T5" dT="2022-04-10T09:38:20.85" personId="{577CCDAF-22BB-4BCA-BE57-C8740662ABA4}" id="{A65794E3-5F83-4D00-B0B6-C5C4901509E6}" parentId="{C6879A79-3F44-4AFC-B367-5517DFA5D1E5}">
    <text>IRS 2022 - 479.27€</text>
  </threadedComment>
  <threadedComment ref="T5" dT="2022-04-11T19:48:47.03" personId="{577CCDAF-22BB-4BCA-BE57-C8740662ABA4}" id="{21C4C077-4A0A-4D1E-AE4D-C71953C92880}" parentId="{C6879A79-3F44-4AFC-B367-5517DFA5D1E5}">
    <text>IVaucher 20€</text>
  </threadedComment>
  <threadedComment ref="T5" dT="2022-04-25T20:42:42.78" personId="{577CCDAF-22BB-4BCA-BE57-C8740662ABA4}" id="{501C4FCE-BC4D-488E-9C75-C55BCC2E4E87}" parentId="{C6879A79-3F44-4AFC-B367-5517DFA5D1E5}">
    <text>Prémio Bosch 2021 - 828.3€</text>
  </threadedComment>
  <threadedComment ref="T5" dT="2022-05-01T23:29:36.99" personId="{577CCDAF-22BB-4BCA-BE57-C8740662ABA4}" id="{CD74F809-023F-47C0-82A7-CCCAB112612E}" parentId="{C6879A79-3F44-4AFC-B367-5517DFA5D1E5}">
    <text>30.04
Subsídio CNI Portel - 115€</text>
  </threadedComment>
  <threadedComment ref="U5" dT="2022-05-03T15:07:43.28" personId="{577CCDAF-22BB-4BCA-BE57-C8740662ABA4}" id="{AA2FDAD4-AE26-4A95-8EE0-A890BA469745}">
    <text>Via Verde - 38€</text>
  </threadedComment>
  <threadedComment ref="Q8" dT="2022-01-03T09:18:55.57" personId="{577CCDAF-22BB-4BCA-BE57-C8740662ABA4}" id="{F00375AA-8F9C-4762-A7A3-CB41B3FA8264}">
    <text>SAVINGS 2021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9D4E-109A-49AE-81E8-84B9F450EFEA}">
  <sheetPr>
    <tabColor rgb="FFFF0000"/>
  </sheetPr>
  <dimension ref="B1:AB26"/>
  <sheetViews>
    <sheetView zoomScale="90" zoomScaleNormal="90" workbookViewId="0">
      <selection activeCell="G9" sqref="G9"/>
    </sheetView>
  </sheetViews>
  <sheetFormatPr defaultRowHeight="12.75" x14ac:dyDescent="0.2"/>
  <cols>
    <col min="1" max="1" width="2.7109375" customWidth="1"/>
    <col min="2" max="2" width="15.7109375" customWidth="1"/>
    <col min="3" max="14" width="10.7109375" customWidth="1"/>
    <col min="15" max="15" width="3.28515625" customWidth="1"/>
    <col min="16" max="16" width="15.7109375" customWidth="1"/>
    <col min="17" max="28" width="9.7109375" customWidth="1"/>
  </cols>
  <sheetData>
    <row r="1" spans="2:28" ht="5.0999999999999996" customHeight="1" x14ac:dyDescent="0.2"/>
    <row r="2" spans="2:28" ht="20.100000000000001" customHeight="1" thickBot="1" x14ac:dyDescent="0.25"/>
    <row r="3" spans="2:28" ht="20.100000000000001" customHeight="1" thickTop="1" thickBot="1" x14ac:dyDescent="0.25">
      <c r="B3" s="176" t="s">
        <v>25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  <c r="P3" s="179" t="s">
        <v>13</v>
      </c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1"/>
    </row>
    <row r="4" spans="2:28" ht="20.100000000000001" customHeight="1" thickTop="1" thickBot="1" x14ac:dyDescent="0.25">
      <c r="B4" s="18" t="s">
        <v>15</v>
      </c>
      <c r="C4" s="4" t="s">
        <v>98</v>
      </c>
      <c r="D4" s="5" t="s">
        <v>99</v>
      </c>
      <c r="E4" s="5" t="s">
        <v>0</v>
      </c>
      <c r="F4" s="5" t="s">
        <v>2</v>
      </c>
      <c r="G4" s="5" t="s">
        <v>3</v>
      </c>
      <c r="H4" s="5" t="s">
        <v>4</v>
      </c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6" t="s">
        <v>10</v>
      </c>
      <c r="P4" s="18" t="s">
        <v>15</v>
      </c>
      <c r="Q4" s="4" t="s">
        <v>98</v>
      </c>
      <c r="R4" s="5" t="s">
        <v>99</v>
      </c>
      <c r="S4" s="17" t="s">
        <v>0</v>
      </c>
      <c r="T4" s="5" t="s">
        <v>2</v>
      </c>
      <c r="U4" s="5" t="s">
        <v>3</v>
      </c>
      <c r="V4" s="5" t="s">
        <v>4</v>
      </c>
      <c r="W4" s="5" t="s">
        <v>5</v>
      </c>
      <c r="X4" s="5" t="s">
        <v>6</v>
      </c>
      <c r="Y4" s="5" t="s">
        <v>7</v>
      </c>
      <c r="Z4" s="5" t="s">
        <v>8</v>
      </c>
      <c r="AA4" s="5" t="s">
        <v>9</v>
      </c>
      <c r="AB4" s="6" t="s">
        <v>10</v>
      </c>
    </row>
    <row r="5" spans="2:28" ht="19.5" customHeight="1" thickTop="1" x14ac:dyDescent="0.2">
      <c r="B5" s="7" t="s">
        <v>16</v>
      </c>
      <c r="C5" s="173">
        <v>24.87</v>
      </c>
      <c r="D5" s="10">
        <v>30.87</v>
      </c>
      <c r="E5" s="10">
        <v>24.88</v>
      </c>
      <c r="F5" s="10">
        <v>27.09</v>
      </c>
      <c r="G5" s="10">
        <v>26.11</v>
      </c>
      <c r="H5" s="10"/>
      <c r="I5" s="10"/>
      <c r="J5" s="10"/>
      <c r="K5" s="10"/>
      <c r="L5" s="10"/>
      <c r="M5" s="10"/>
      <c r="N5" s="11"/>
      <c r="P5" s="7" t="s">
        <v>18</v>
      </c>
      <c r="Q5" s="166"/>
      <c r="R5" s="167"/>
      <c r="S5" s="150"/>
      <c r="T5" s="19"/>
      <c r="U5" s="19"/>
      <c r="V5" s="19"/>
      <c r="W5" s="19"/>
      <c r="X5" s="19"/>
      <c r="Y5" s="19"/>
      <c r="Z5" s="19"/>
      <c r="AA5" s="19"/>
      <c r="AB5" s="20"/>
    </row>
    <row r="6" spans="2:28" ht="20.100000000000001" customHeight="1" x14ac:dyDescent="0.2">
      <c r="B6" s="8" t="s">
        <v>17</v>
      </c>
      <c r="C6" s="12">
        <v>4.22</v>
      </c>
      <c r="D6" s="13">
        <v>4.75</v>
      </c>
      <c r="E6" s="13">
        <v>2.89</v>
      </c>
      <c r="F6" s="13">
        <v>4.3600000000000003</v>
      </c>
      <c r="G6" s="13">
        <v>2.3199999999999998</v>
      </c>
      <c r="H6" s="13"/>
      <c r="I6" s="13"/>
      <c r="J6" s="13"/>
      <c r="K6" s="13"/>
      <c r="L6" s="13"/>
      <c r="M6" s="13"/>
      <c r="N6" s="14"/>
      <c r="P6" s="21" t="s">
        <v>19</v>
      </c>
      <c r="Q6" s="168"/>
      <c r="R6" s="169"/>
      <c r="S6" s="151"/>
      <c r="T6" s="22"/>
      <c r="U6" s="22"/>
      <c r="V6" s="22"/>
      <c r="W6" s="22"/>
      <c r="X6" s="22"/>
      <c r="Y6" s="22"/>
      <c r="Z6" s="22"/>
      <c r="AA6" s="22"/>
      <c r="AB6" s="23"/>
    </row>
    <row r="7" spans="2:28" ht="19.5" customHeight="1" thickBot="1" x14ac:dyDescent="0.25">
      <c r="B7" s="9" t="s">
        <v>11</v>
      </c>
      <c r="C7" s="174">
        <v>9.1300000000000008</v>
      </c>
      <c r="D7" s="15">
        <v>10.53</v>
      </c>
      <c r="E7" s="15">
        <v>8.9499999999999993</v>
      </c>
      <c r="F7" s="15">
        <v>10.02</v>
      </c>
      <c r="G7" s="15">
        <v>8.9600000000000009</v>
      </c>
      <c r="H7" s="15"/>
      <c r="I7" s="15"/>
      <c r="J7" s="15"/>
      <c r="K7" s="15"/>
      <c r="L7" s="15"/>
      <c r="M7" s="15"/>
      <c r="N7" s="16"/>
      <c r="P7" s="24" t="s">
        <v>14</v>
      </c>
      <c r="Q7" s="170"/>
      <c r="R7" s="171"/>
      <c r="S7" s="152"/>
      <c r="T7" s="25"/>
      <c r="U7" s="25"/>
      <c r="V7" s="25"/>
      <c r="W7" s="25"/>
      <c r="X7" s="25"/>
      <c r="Y7" s="25"/>
      <c r="Z7" s="25"/>
      <c r="AA7" s="25"/>
      <c r="AB7" s="26"/>
    </row>
    <row r="8" spans="2:28" ht="20.100000000000001" hidden="1" customHeight="1" thickTop="1" thickBot="1" x14ac:dyDescent="0.25">
      <c r="B8" s="52" t="s">
        <v>12</v>
      </c>
      <c r="C8" s="175">
        <v>0</v>
      </c>
      <c r="D8" s="148">
        <v>0</v>
      </c>
      <c r="E8" s="148">
        <v>0</v>
      </c>
      <c r="F8" s="53"/>
      <c r="G8" s="53"/>
      <c r="H8" s="53"/>
      <c r="I8" s="53"/>
      <c r="J8" s="53"/>
      <c r="K8" s="53"/>
      <c r="L8" s="53"/>
      <c r="M8" s="53"/>
      <c r="N8" s="54"/>
    </row>
    <row r="9" spans="2:28" ht="20.100000000000001" customHeight="1" thickTop="1" thickBot="1" x14ac:dyDescent="0.25">
      <c r="B9" s="99" t="s">
        <v>1</v>
      </c>
      <c r="C9" s="46">
        <f t="shared" ref="C9:N9" si="0">C5+C6+C7-C8</f>
        <v>38.22</v>
      </c>
      <c r="D9" s="46">
        <f t="shared" si="0"/>
        <v>46.150000000000006</v>
      </c>
      <c r="E9" s="46">
        <f t="shared" si="0"/>
        <v>36.72</v>
      </c>
      <c r="F9" s="47">
        <f t="shared" si="0"/>
        <v>41.47</v>
      </c>
      <c r="G9" s="47">
        <f t="shared" si="0"/>
        <v>37.39</v>
      </c>
      <c r="H9" s="47">
        <f t="shared" si="0"/>
        <v>0</v>
      </c>
      <c r="I9" s="47">
        <f t="shared" si="0"/>
        <v>0</v>
      </c>
      <c r="J9" s="47">
        <f t="shared" si="0"/>
        <v>0</v>
      </c>
      <c r="K9" s="47">
        <f t="shared" si="0"/>
        <v>0</v>
      </c>
      <c r="L9" s="47">
        <f t="shared" si="0"/>
        <v>0</v>
      </c>
      <c r="M9" s="47">
        <f t="shared" si="0"/>
        <v>0</v>
      </c>
      <c r="N9" s="48">
        <f t="shared" si="0"/>
        <v>0</v>
      </c>
    </row>
    <row r="10" spans="2:28" ht="20.100000000000001" customHeight="1" thickTop="1" x14ac:dyDescent="0.2">
      <c r="B10" s="3"/>
      <c r="C10" s="3"/>
      <c r="D10" s="3"/>
    </row>
    <row r="11" spans="2:28" ht="20.100000000000001" customHeight="1" x14ac:dyDescent="0.2"/>
    <row r="12" spans="2:28" ht="20.100000000000001" customHeight="1" x14ac:dyDescent="0.2"/>
    <row r="13" spans="2:28" ht="20.100000000000001" customHeight="1" x14ac:dyDescent="0.2"/>
    <row r="14" spans="2:28" ht="20.100000000000001" customHeight="1" x14ac:dyDescent="0.2"/>
    <row r="15" spans="2:28" ht="20.100000000000001" customHeight="1" x14ac:dyDescent="0.2"/>
    <row r="16" spans="2:28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</sheetData>
  <mergeCells count="2">
    <mergeCell ref="B3:N3"/>
    <mergeCell ref="P3:AB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1C43-B8E1-4634-B0CF-4E09CD0605FB}">
  <sheetPr>
    <tabColor rgb="FF00B0F0"/>
  </sheetPr>
  <dimension ref="B1:AC13"/>
  <sheetViews>
    <sheetView zoomScale="90" zoomScaleNormal="90" workbookViewId="0">
      <selection activeCell="U7" sqref="U7"/>
    </sheetView>
  </sheetViews>
  <sheetFormatPr defaultRowHeight="12.75" x14ac:dyDescent="0.2"/>
  <cols>
    <col min="1" max="1" width="1.7109375" customWidth="1"/>
    <col min="2" max="2" width="18.7109375" customWidth="1"/>
    <col min="3" max="4" width="10.28515625" style="160" customWidth="1"/>
    <col min="5" max="14" width="10.28515625" customWidth="1"/>
    <col min="15" max="15" width="1.7109375" customWidth="1"/>
    <col min="16" max="16" width="26.140625" bestFit="1" customWidth="1"/>
    <col min="17" max="18" width="10.28515625" style="160" customWidth="1"/>
    <col min="19" max="28" width="10.28515625" customWidth="1"/>
  </cols>
  <sheetData>
    <row r="1" spans="2:29" ht="9.9499999999999993" customHeight="1" thickBot="1" x14ac:dyDescent="0.25"/>
    <row r="2" spans="2:29" ht="20.100000000000001" customHeight="1" thickTop="1" thickBot="1" x14ac:dyDescent="0.25">
      <c r="B2" s="185" t="s">
        <v>20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P2" s="182" t="s">
        <v>38</v>
      </c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</row>
    <row r="3" spans="2:29" ht="20.100000000000001" customHeight="1" thickTop="1" thickBot="1" x14ac:dyDescent="0.25">
      <c r="B3" s="18" t="s">
        <v>15</v>
      </c>
      <c r="C3" s="4" t="s">
        <v>98</v>
      </c>
      <c r="D3" s="5" t="s">
        <v>99</v>
      </c>
      <c r="E3" s="5" t="s">
        <v>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6" t="s">
        <v>10</v>
      </c>
      <c r="P3" s="18" t="s">
        <v>15</v>
      </c>
      <c r="Q3" s="4" t="s">
        <v>98</v>
      </c>
      <c r="R3" s="5" t="s">
        <v>99</v>
      </c>
      <c r="S3" s="17" t="s">
        <v>0</v>
      </c>
      <c r="T3" s="5" t="s">
        <v>2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8</v>
      </c>
      <c r="AA3" s="5" t="s">
        <v>9</v>
      </c>
      <c r="AB3" s="6" t="s">
        <v>10</v>
      </c>
    </row>
    <row r="4" spans="2:29" ht="20.100000000000001" customHeight="1" thickTop="1" x14ac:dyDescent="0.2">
      <c r="B4" s="27" t="s">
        <v>21</v>
      </c>
      <c r="C4" s="28">
        <v>4.68</v>
      </c>
      <c r="D4" s="29">
        <v>4.3899999999999997</v>
      </c>
      <c r="E4" s="58">
        <v>4.92</v>
      </c>
      <c r="F4" s="58">
        <v>4.4000000000000004</v>
      </c>
      <c r="G4" s="29">
        <v>5.09</v>
      </c>
      <c r="H4" s="29">
        <v>4.7300000000000004</v>
      </c>
      <c r="I4" s="29"/>
      <c r="J4" s="29"/>
      <c r="K4" s="29"/>
      <c r="L4" s="29"/>
      <c r="M4" s="29"/>
      <c r="N4" s="30"/>
      <c r="P4" s="39" t="s">
        <v>26</v>
      </c>
      <c r="Q4" s="40">
        <v>36.99</v>
      </c>
      <c r="R4" s="41">
        <v>52.23</v>
      </c>
      <c r="S4" s="144">
        <v>52.39</v>
      </c>
      <c r="T4" s="41">
        <v>47.55</v>
      </c>
      <c r="U4" s="41">
        <v>47.39</v>
      </c>
      <c r="V4" s="41"/>
      <c r="W4" s="41"/>
      <c r="X4" s="41"/>
      <c r="Y4" s="41"/>
      <c r="Z4" s="41"/>
      <c r="AA4" s="41"/>
      <c r="AB4" s="42"/>
    </row>
    <row r="5" spans="2:29" ht="20.100000000000001" customHeight="1" x14ac:dyDescent="0.2">
      <c r="B5" s="31" t="s">
        <v>22</v>
      </c>
      <c r="C5" s="32">
        <v>4.25</v>
      </c>
      <c r="D5" s="33">
        <v>3.86</v>
      </c>
      <c r="E5" s="59">
        <v>4.45</v>
      </c>
      <c r="F5" s="59">
        <v>3.87</v>
      </c>
      <c r="G5" s="33">
        <v>4.67</v>
      </c>
      <c r="H5" s="33">
        <v>4.3600000000000003</v>
      </c>
      <c r="I5" s="33"/>
      <c r="J5" s="33"/>
      <c r="K5" s="33"/>
      <c r="L5" s="33"/>
      <c r="M5" s="33"/>
      <c r="N5" s="34"/>
      <c r="P5" s="43" t="s">
        <v>27</v>
      </c>
      <c r="Q5" s="44">
        <v>0</v>
      </c>
      <c r="R5" s="76">
        <v>0</v>
      </c>
      <c r="S5" s="145">
        <v>0</v>
      </c>
      <c r="T5" s="76">
        <v>0</v>
      </c>
      <c r="U5" s="76">
        <v>0</v>
      </c>
      <c r="V5" s="76">
        <v>0</v>
      </c>
      <c r="W5" s="76">
        <v>0</v>
      </c>
      <c r="X5" s="76">
        <v>0</v>
      </c>
      <c r="Y5" s="76">
        <v>0</v>
      </c>
      <c r="Z5" s="76">
        <v>0</v>
      </c>
      <c r="AA5" s="76">
        <v>0</v>
      </c>
      <c r="AB5" s="45">
        <v>0</v>
      </c>
    </row>
    <row r="6" spans="2:29" ht="20.100000000000001" customHeight="1" x14ac:dyDescent="0.2">
      <c r="B6" s="35" t="s">
        <v>23</v>
      </c>
      <c r="C6" s="36">
        <v>2.79</v>
      </c>
      <c r="D6" s="37">
        <v>2.2599999999999998</v>
      </c>
      <c r="E6" s="60">
        <v>2.89</v>
      </c>
      <c r="F6" s="60">
        <v>2.2599999999999998</v>
      </c>
      <c r="G6" s="37">
        <v>2.97</v>
      </c>
      <c r="H6" s="37">
        <v>2.81</v>
      </c>
      <c r="I6" s="37"/>
      <c r="J6" s="37"/>
      <c r="K6" s="37"/>
      <c r="L6" s="37"/>
      <c r="M6" s="37"/>
      <c r="N6" s="38"/>
      <c r="P6" s="83" t="s">
        <v>37</v>
      </c>
      <c r="Q6" s="84">
        <v>5.21</v>
      </c>
      <c r="R6" s="85">
        <v>10</v>
      </c>
      <c r="S6" s="85">
        <v>13.45</v>
      </c>
      <c r="T6" s="85">
        <v>36.229999999999997</v>
      </c>
      <c r="U6" s="85"/>
      <c r="V6" s="85"/>
      <c r="W6" s="85"/>
      <c r="X6" s="85"/>
      <c r="Y6" s="85"/>
      <c r="Z6" s="85"/>
      <c r="AA6" s="85"/>
      <c r="AB6" s="86"/>
    </row>
    <row r="7" spans="2:29" ht="20.100000000000001" customHeight="1" thickBot="1" x14ac:dyDescent="0.25">
      <c r="B7" s="49" t="s">
        <v>24</v>
      </c>
      <c r="C7" s="62">
        <v>0.27</v>
      </c>
      <c r="D7" s="165">
        <v>0.26</v>
      </c>
      <c r="E7" s="147">
        <v>0.3</v>
      </c>
      <c r="F7" s="61">
        <v>0.26</v>
      </c>
      <c r="G7" s="50">
        <v>0.31</v>
      </c>
      <c r="H7" s="50">
        <v>0.28000000000000003</v>
      </c>
      <c r="I7" s="50"/>
      <c r="J7" s="50"/>
      <c r="K7" s="50"/>
      <c r="L7" s="50"/>
      <c r="M7" s="50"/>
      <c r="N7" s="51"/>
      <c r="P7" s="127" t="s">
        <v>92</v>
      </c>
      <c r="Q7" s="128">
        <v>24</v>
      </c>
      <c r="R7" s="129">
        <v>0</v>
      </c>
      <c r="S7" s="146">
        <v>5.99</v>
      </c>
      <c r="T7" s="129">
        <v>5.99</v>
      </c>
      <c r="U7" s="129"/>
      <c r="V7" s="129"/>
      <c r="W7" s="129"/>
      <c r="X7" s="129"/>
      <c r="Y7" s="129"/>
      <c r="Z7" s="129"/>
      <c r="AA7" s="129"/>
      <c r="AB7" s="130"/>
    </row>
    <row r="8" spans="2:29" ht="20.100000000000001" customHeight="1" thickTop="1" thickBot="1" x14ac:dyDescent="0.25">
      <c r="B8" s="99" t="s">
        <v>1</v>
      </c>
      <c r="C8" s="46">
        <f t="shared" ref="C8:D8" si="0">SUM(C4:C7)</f>
        <v>11.989999999999998</v>
      </c>
      <c r="D8" s="47">
        <f t="shared" si="0"/>
        <v>10.77</v>
      </c>
      <c r="E8" s="47">
        <f>SUM(E4:E7)</f>
        <v>12.560000000000002</v>
      </c>
      <c r="F8" s="47">
        <f t="shared" ref="F8:N8" si="1">SUM(F4:F7)</f>
        <v>10.79</v>
      </c>
      <c r="G8" s="47">
        <f t="shared" si="1"/>
        <v>13.040000000000001</v>
      </c>
      <c r="H8" s="47">
        <f t="shared" si="1"/>
        <v>12.18</v>
      </c>
      <c r="I8" s="47">
        <f t="shared" si="1"/>
        <v>0</v>
      </c>
      <c r="J8" s="47">
        <f t="shared" si="1"/>
        <v>0</v>
      </c>
      <c r="K8" s="47">
        <f t="shared" si="1"/>
        <v>0</v>
      </c>
      <c r="L8" s="47">
        <f t="shared" si="1"/>
        <v>0</v>
      </c>
      <c r="M8" s="47">
        <f t="shared" si="1"/>
        <v>0</v>
      </c>
      <c r="N8" s="48">
        <f t="shared" si="1"/>
        <v>0</v>
      </c>
      <c r="P8" s="99" t="s">
        <v>1</v>
      </c>
      <c r="Q8" s="46">
        <f t="shared" ref="Q8:AB8" si="2">SUM(Q4:Q7)</f>
        <v>66.2</v>
      </c>
      <c r="R8" s="47">
        <f t="shared" si="2"/>
        <v>62.23</v>
      </c>
      <c r="S8" s="153">
        <f t="shared" si="2"/>
        <v>71.83</v>
      </c>
      <c r="T8" s="47">
        <f t="shared" si="2"/>
        <v>89.77</v>
      </c>
      <c r="U8" s="47">
        <f t="shared" si="2"/>
        <v>47.39</v>
      </c>
      <c r="V8" s="47">
        <f t="shared" si="2"/>
        <v>0</v>
      </c>
      <c r="W8" s="47">
        <f t="shared" si="2"/>
        <v>0</v>
      </c>
      <c r="X8" s="47">
        <f t="shared" si="2"/>
        <v>0</v>
      </c>
      <c r="Y8" s="47">
        <f t="shared" si="2"/>
        <v>0</v>
      </c>
      <c r="Z8" s="47">
        <f t="shared" si="2"/>
        <v>0</v>
      </c>
      <c r="AA8" s="47">
        <f t="shared" si="2"/>
        <v>0</v>
      </c>
      <c r="AB8" s="48">
        <f t="shared" si="2"/>
        <v>0</v>
      </c>
    </row>
    <row r="9" spans="2:29" ht="20.100000000000001" customHeight="1" thickTop="1" x14ac:dyDescent="0.2">
      <c r="B9" s="3"/>
    </row>
    <row r="10" spans="2:29" ht="20.100000000000001" customHeight="1" x14ac:dyDescent="0.2">
      <c r="S10" s="67"/>
    </row>
    <row r="11" spans="2:29" ht="20.100000000000001" customHeight="1" x14ac:dyDescent="0.2"/>
    <row r="12" spans="2:29" ht="20.100000000000001" customHeight="1" x14ac:dyDescent="0.2"/>
    <row r="13" spans="2:29" ht="20.100000000000001" customHeight="1" x14ac:dyDescent="0.2">
      <c r="AC13" s="142" t="s">
        <v>97</v>
      </c>
    </row>
  </sheetData>
  <mergeCells count="2">
    <mergeCell ref="P2:AB2"/>
    <mergeCell ref="B2:N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EFA8-9D32-4417-BCEB-DDBD247FD237}">
  <sheetPr>
    <tabColor rgb="FF00B050"/>
  </sheetPr>
  <dimension ref="B1:R9"/>
  <sheetViews>
    <sheetView zoomScale="90" zoomScaleNormal="90" workbookViewId="0">
      <selection activeCell="K12" sqref="K12"/>
    </sheetView>
  </sheetViews>
  <sheetFormatPr defaultRowHeight="12.75" x14ac:dyDescent="0.2"/>
  <cols>
    <col min="1" max="1" width="2.7109375" customWidth="1"/>
    <col min="2" max="2" width="25.7109375" customWidth="1"/>
    <col min="3" max="14" width="10.7109375" customWidth="1"/>
    <col min="15" max="15" width="5.7109375" customWidth="1"/>
    <col min="17" max="17" width="30.7109375" customWidth="1"/>
  </cols>
  <sheetData>
    <row r="1" spans="2:18" ht="9.9499999999999993" customHeight="1" thickBot="1" x14ac:dyDescent="0.25"/>
    <row r="2" spans="2:18" ht="20.100000000000001" customHeight="1" thickTop="1" thickBot="1" x14ac:dyDescent="0.25">
      <c r="B2" s="188" t="s">
        <v>34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90"/>
    </row>
    <row r="3" spans="2:18" ht="20.100000000000001" customHeight="1" thickTop="1" thickBot="1" x14ac:dyDescent="0.25">
      <c r="B3" s="18" t="s">
        <v>15</v>
      </c>
      <c r="C3" s="4" t="s">
        <v>98</v>
      </c>
      <c r="D3" s="5" t="s">
        <v>99</v>
      </c>
      <c r="E3" s="17" t="s">
        <v>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6" t="s">
        <v>10</v>
      </c>
      <c r="Q3" s="57" t="s">
        <v>33</v>
      </c>
    </row>
    <row r="4" spans="2:18" ht="20.100000000000001" customHeight="1" thickTop="1" x14ac:dyDescent="0.2">
      <c r="B4" s="27" t="s">
        <v>53</v>
      </c>
      <c r="C4" s="58">
        <v>221.21</v>
      </c>
      <c r="D4" s="58">
        <v>221.21</v>
      </c>
      <c r="E4" s="58">
        <v>221.21</v>
      </c>
      <c r="F4" s="58">
        <v>221.21</v>
      </c>
      <c r="G4" s="58">
        <v>221.21</v>
      </c>
      <c r="H4" s="58">
        <v>221.21</v>
      </c>
      <c r="I4" s="58">
        <v>221.21</v>
      </c>
      <c r="J4" s="58">
        <v>221.21</v>
      </c>
      <c r="K4" s="58">
        <v>221.21</v>
      </c>
      <c r="L4" s="58">
        <v>221.21</v>
      </c>
      <c r="M4" s="58">
        <v>221.21</v>
      </c>
      <c r="N4" s="30">
        <v>221.21</v>
      </c>
      <c r="Q4" s="66" t="s">
        <v>31</v>
      </c>
    </row>
    <row r="5" spans="2:18" ht="20.100000000000001" customHeight="1" x14ac:dyDescent="0.2">
      <c r="B5" s="63" t="s">
        <v>30</v>
      </c>
      <c r="C5" s="64">
        <v>11.24</v>
      </c>
      <c r="D5" s="64">
        <v>11.24</v>
      </c>
      <c r="E5" s="64">
        <v>11.24</v>
      </c>
      <c r="F5" s="64">
        <v>11.24</v>
      </c>
      <c r="G5" s="64">
        <v>11.24</v>
      </c>
      <c r="H5" s="64">
        <v>11.24</v>
      </c>
      <c r="I5" s="64">
        <v>11.24</v>
      </c>
      <c r="J5" s="64">
        <v>11.24</v>
      </c>
      <c r="K5" s="64">
        <v>11.24</v>
      </c>
      <c r="L5" s="64">
        <v>11.24</v>
      </c>
      <c r="M5" s="64">
        <v>11.24</v>
      </c>
      <c r="N5" s="65">
        <v>11.24</v>
      </c>
      <c r="Q5" s="1" t="s">
        <v>96</v>
      </c>
      <c r="R5" s="2">
        <v>262.16000000000003</v>
      </c>
    </row>
    <row r="6" spans="2:18" ht="20.100000000000001" customHeight="1" x14ac:dyDescent="0.2">
      <c r="B6" s="73" t="s">
        <v>31</v>
      </c>
      <c r="C6" s="96">
        <f t="shared" ref="C6:N6" si="0">$R$5/12</f>
        <v>21.846666666666668</v>
      </c>
      <c r="D6" s="96">
        <f t="shared" si="0"/>
        <v>21.846666666666668</v>
      </c>
      <c r="E6" s="96">
        <f t="shared" si="0"/>
        <v>21.846666666666668</v>
      </c>
      <c r="F6" s="96">
        <f t="shared" si="0"/>
        <v>21.846666666666668</v>
      </c>
      <c r="G6" s="96">
        <f t="shared" si="0"/>
        <v>21.846666666666668</v>
      </c>
      <c r="H6" s="96">
        <f t="shared" si="0"/>
        <v>21.846666666666668</v>
      </c>
      <c r="I6" s="96">
        <f t="shared" si="0"/>
        <v>21.846666666666668</v>
      </c>
      <c r="J6" s="96">
        <f t="shared" si="0"/>
        <v>21.846666666666668</v>
      </c>
      <c r="K6" s="96">
        <f t="shared" si="0"/>
        <v>21.846666666666668</v>
      </c>
      <c r="L6" s="96">
        <f t="shared" si="0"/>
        <v>21.846666666666668</v>
      </c>
      <c r="M6" s="96">
        <f t="shared" si="0"/>
        <v>21.846666666666668</v>
      </c>
      <c r="N6" s="75">
        <f t="shared" si="0"/>
        <v>21.846666666666668</v>
      </c>
    </row>
    <row r="7" spans="2:18" ht="20.100000000000001" customHeight="1" thickBot="1" x14ac:dyDescent="0.25">
      <c r="B7" s="93" t="s">
        <v>32</v>
      </c>
      <c r="C7" s="94">
        <f>38.41+4.49</f>
        <v>42.9</v>
      </c>
      <c r="D7" s="94">
        <v>42.9</v>
      </c>
      <c r="E7" s="94">
        <v>42.9</v>
      </c>
      <c r="F7" s="94">
        <v>42.9</v>
      </c>
      <c r="G7" s="94">
        <v>42.9</v>
      </c>
      <c r="H7" s="94">
        <v>42.9</v>
      </c>
      <c r="I7" s="94">
        <v>42.9</v>
      </c>
      <c r="J7" s="94">
        <v>42.9</v>
      </c>
      <c r="K7" s="94">
        <v>42.9</v>
      </c>
      <c r="L7" s="94">
        <v>42.9</v>
      </c>
      <c r="M7" s="94">
        <v>42.9</v>
      </c>
      <c r="N7" s="95">
        <v>42.9</v>
      </c>
    </row>
    <row r="8" spans="2:18" ht="20.100000000000001" customHeight="1" thickTop="1" thickBot="1" x14ac:dyDescent="0.25">
      <c r="B8" s="99" t="s">
        <v>1</v>
      </c>
      <c r="C8" s="153">
        <f t="shared" ref="C8:D8" si="1">C4+C5+C6+C7</f>
        <v>297.19666666666666</v>
      </c>
      <c r="D8" s="153">
        <f t="shared" si="1"/>
        <v>297.19666666666666</v>
      </c>
      <c r="E8" s="153">
        <f>E4+E5+E6+E7</f>
        <v>297.19666666666666</v>
      </c>
      <c r="F8" s="47">
        <f t="shared" ref="F8:N8" si="2">F4+F5+F6+F7</f>
        <v>297.19666666666666</v>
      </c>
      <c r="G8" s="47">
        <f t="shared" si="2"/>
        <v>297.19666666666666</v>
      </c>
      <c r="H8" s="47">
        <f t="shared" si="2"/>
        <v>297.19666666666666</v>
      </c>
      <c r="I8" s="47">
        <f t="shared" si="2"/>
        <v>297.19666666666666</v>
      </c>
      <c r="J8" s="47">
        <f t="shared" si="2"/>
        <v>297.19666666666666</v>
      </c>
      <c r="K8" s="47">
        <f t="shared" si="2"/>
        <v>297.19666666666666</v>
      </c>
      <c r="L8" s="47">
        <f t="shared" si="2"/>
        <v>297.19666666666666</v>
      </c>
      <c r="M8" s="47">
        <f t="shared" si="2"/>
        <v>297.19666666666666</v>
      </c>
      <c r="N8" s="48">
        <f t="shared" si="2"/>
        <v>297.19666666666666</v>
      </c>
    </row>
    <row r="9" spans="2:18" ht="20.100000000000001" customHeight="1" thickTop="1" x14ac:dyDescent="0.2">
      <c r="B9" s="3"/>
      <c r="C9" s="3"/>
      <c r="D9" s="3"/>
    </row>
  </sheetData>
  <mergeCells count="1">
    <mergeCell ref="B2:N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D552-2CED-4BBF-83D5-813A677EF11A}">
  <sheetPr>
    <tabColor theme="5" tint="-0.249977111117893"/>
  </sheetPr>
  <dimension ref="B1:AB36"/>
  <sheetViews>
    <sheetView zoomScale="90" zoomScaleNormal="90" workbookViewId="0">
      <selection activeCell="U14" sqref="U14"/>
    </sheetView>
  </sheetViews>
  <sheetFormatPr defaultRowHeight="12.75" x14ac:dyDescent="0.2"/>
  <cols>
    <col min="1" max="1" width="1.7109375" customWidth="1"/>
    <col min="2" max="2" width="20.7109375" customWidth="1"/>
    <col min="3" max="4" width="9.7109375" style="160" customWidth="1"/>
    <col min="5" max="14" width="9.7109375" customWidth="1"/>
    <col min="15" max="15" width="1.7109375" customWidth="1"/>
    <col min="16" max="16" width="32.7109375" bestFit="1" customWidth="1"/>
    <col min="17" max="28" width="10.28515625" customWidth="1"/>
  </cols>
  <sheetData>
    <row r="1" spans="2:28" ht="5.0999999999999996" customHeight="1" thickBot="1" x14ac:dyDescent="0.25"/>
    <row r="2" spans="2:28" ht="20.100000000000001" customHeight="1" thickTop="1" thickBot="1" x14ac:dyDescent="0.25">
      <c r="B2" s="191" t="s">
        <v>35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  <c r="P2" s="194" t="s">
        <v>41</v>
      </c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6"/>
    </row>
    <row r="3" spans="2:28" ht="20.100000000000001" customHeight="1" thickTop="1" thickBot="1" x14ac:dyDescent="0.25">
      <c r="B3" s="18" t="s">
        <v>15</v>
      </c>
      <c r="C3" s="17" t="s">
        <v>98</v>
      </c>
      <c r="D3" s="5" t="s">
        <v>99</v>
      </c>
      <c r="E3" s="17" t="s">
        <v>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6" t="s">
        <v>10</v>
      </c>
      <c r="P3" s="18" t="s">
        <v>15</v>
      </c>
      <c r="Q3" s="4" t="s">
        <v>98</v>
      </c>
      <c r="R3" s="5" t="s">
        <v>99</v>
      </c>
      <c r="S3" s="17" t="s">
        <v>0</v>
      </c>
      <c r="T3" s="5" t="s">
        <v>2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8</v>
      </c>
      <c r="AA3" s="5" t="s">
        <v>9</v>
      </c>
      <c r="AB3" s="6" t="s">
        <v>10</v>
      </c>
    </row>
    <row r="4" spans="2:28" ht="20.100000000000001" customHeight="1" thickTop="1" x14ac:dyDescent="0.2">
      <c r="B4" s="116" t="s">
        <v>58</v>
      </c>
      <c r="C4" s="118"/>
      <c r="D4" s="154"/>
      <c r="E4" s="154"/>
      <c r="F4" s="119"/>
      <c r="G4" s="119">
        <v>3.7</v>
      </c>
      <c r="H4" s="119"/>
      <c r="I4" s="119"/>
      <c r="J4" s="119"/>
      <c r="K4" s="119"/>
      <c r="L4" s="119"/>
      <c r="M4" s="119"/>
      <c r="N4" s="120"/>
      <c r="P4" s="39" t="s">
        <v>39</v>
      </c>
      <c r="Q4" s="40">
        <v>41.12</v>
      </c>
      <c r="R4" s="41">
        <f>65.98+48.27</f>
        <v>114.25</v>
      </c>
      <c r="S4" s="144">
        <v>64.62</v>
      </c>
      <c r="T4" s="41">
        <f>65.28+24.23</f>
        <v>89.51</v>
      </c>
      <c r="U4" s="41">
        <v>82.98</v>
      </c>
      <c r="V4" s="41"/>
      <c r="W4" s="41"/>
      <c r="X4" s="41"/>
      <c r="Y4" s="41"/>
      <c r="Z4" s="41"/>
      <c r="AA4" s="41"/>
      <c r="AB4" s="42"/>
    </row>
    <row r="5" spans="2:28" ht="20.100000000000001" customHeight="1" x14ac:dyDescent="0.2">
      <c r="B5" s="117" t="s">
        <v>59</v>
      </c>
      <c r="C5" s="12">
        <v>2.1</v>
      </c>
      <c r="D5" s="13"/>
      <c r="E5" s="13">
        <v>14.91</v>
      </c>
      <c r="F5" s="68"/>
      <c r="G5" s="68"/>
      <c r="H5" s="68"/>
      <c r="I5" s="68"/>
      <c r="J5" s="68"/>
      <c r="K5" s="68"/>
      <c r="L5" s="68"/>
      <c r="M5" s="68"/>
      <c r="N5" s="14"/>
      <c r="P5" s="43" t="s">
        <v>40</v>
      </c>
      <c r="Q5" s="44">
        <v>0</v>
      </c>
      <c r="R5" s="76">
        <v>0</v>
      </c>
      <c r="S5" s="145">
        <f>25.07+5.45+68+2</f>
        <v>100.52</v>
      </c>
      <c r="T5" s="76">
        <f>25.07+3.5</f>
        <v>28.57</v>
      </c>
      <c r="U5" s="76"/>
      <c r="V5" s="76"/>
      <c r="W5" s="76"/>
      <c r="X5" s="76"/>
      <c r="Y5" s="76"/>
      <c r="Z5" s="76"/>
      <c r="AA5" s="76"/>
      <c r="AB5" s="45"/>
    </row>
    <row r="6" spans="2:28" ht="20.100000000000001" customHeight="1" thickBot="1" x14ac:dyDescent="0.25">
      <c r="B6" s="117" t="s">
        <v>60</v>
      </c>
      <c r="C6" s="121"/>
      <c r="D6" s="155"/>
      <c r="E6" s="155"/>
      <c r="F6" s="122"/>
      <c r="G6" s="122"/>
      <c r="H6" s="122"/>
      <c r="I6" s="122"/>
      <c r="J6" s="122"/>
      <c r="K6" s="122"/>
      <c r="L6" s="122"/>
      <c r="M6" s="122"/>
      <c r="N6" s="123"/>
      <c r="P6" s="77" t="s">
        <v>44</v>
      </c>
      <c r="Q6" s="78">
        <f>48.98-24.78</f>
        <v>24.199999999999996</v>
      </c>
      <c r="R6" s="79">
        <v>0</v>
      </c>
      <c r="S6" s="159">
        <v>0</v>
      </c>
      <c r="T6" s="79">
        <v>0</v>
      </c>
      <c r="U6" s="79">
        <v>224.94</v>
      </c>
      <c r="V6" s="79"/>
      <c r="W6" s="79"/>
      <c r="X6" s="79"/>
      <c r="Y6" s="79"/>
      <c r="Z6" s="79"/>
      <c r="AA6" s="79"/>
      <c r="AB6" s="80"/>
    </row>
    <row r="7" spans="2:28" ht="20.100000000000001" customHeight="1" thickTop="1" thickBot="1" x14ac:dyDescent="0.25">
      <c r="B7" s="117" t="s">
        <v>61</v>
      </c>
      <c r="C7" s="12">
        <v>13.24</v>
      </c>
      <c r="D7" s="13"/>
      <c r="E7" s="13"/>
      <c r="F7" s="68"/>
      <c r="G7" s="68">
        <v>2.9</v>
      </c>
      <c r="H7" s="68"/>
      <c r="I7" s="68"/>
      <c r="J7" s="68"/>
      <c r="K7" s="68"/>
      <c r="L7" s="68"/>
      <c r="M7" s="68"/>
      <c r="N7" s="14"/>
      <c r="P7" s="99" t="s">
        <v>1</v>
      </c>
      <c r="Q7" s="153">
        <f t="shared" ref="Q7:R7" si="0">SUM(Q4:Q6)</f>
        <v>65.319999999999993</v>
      </c>
      <c r="R7" s="153">
        <f t="shared" si="0"/>
        <v>114.25</v>
      </c>
      <c r="S7" s="153">
        <f>SUM(S4:S6)</f>
        <v>165.14</v>
      </c>
      <c r="T7" s="47">
        <f t="shared" ref="T7:AB7" si="1">SUM(T4:T6)</f>
        <v>118.08000000000001</v>
      </c>
      <c r="U7" s="47">
        <f t="shared" si="1"/>
        <v>307.92</v>
      </c>
      <c r="V7" s="47">
        <f t="shared" si="1"/>
        <v>0</v>
      </c>
      <c r="W7" s="47">
        <f t="shared" si="1"/>
        <v>0</v>
      </c>
      <c r="X7" s="47">
        <f t="shared" si="1"/>
        <v>0</v>
      </c>
      <c r="Y7" s="47">
        <f t="shared" si="1"/>
        <v>0</v>
      </c>
      <c r="Z7" s="47">
        <f t="shared" si="1"/>
        <v>0</v>
      </c>
      <c r="AA7" s="47">
        <f t="shared" si="1"/>
        <v>0</v>
      </c>
      <c r="AB7" s="48">
        <f t="shared" si="1"/>
        <v>0</v>
      </c>
    </row>
    <row r="8" spans="2:28" ht="20.100000000000001" customHeight="1" thickTop="1" thickBot="1" x14ac:dyDescent="0.25">
      <c r="B8" s="117" t="s">
        <v>62</v>
      </c>
      <c r="C8" s="121"/>
      <c r="D8" s="155"/>
      <c r="E8" s="155"/>
      <c r="F8" s="122"/>
      <c r="G8" s="122"/>
      <c r="H8" s="122"/>
      <c r="I8" s="122"/>
      <c r="J8" s="122"/>
      <c r="K8" s="122"/>
      <c r="L8" s="122"/>
      <c r="M8" s="122"/>
      <c r="N8" s="123"/>
    </row>
    <row r="9" spans="2:28" ht="20.100000000000001" customHeight="1" thickTop="1" thickBot="1" x14ac:dyDescent="0.25">
      <c r="B9" s="117" t="s">
        <v>63</v>
      </c>
      <c r="C9" s="12"/>
      <c r="D9" s="13">
        <v>2.6</v>
      </c>
      <c r="E9" s="13"/>
      <c r="F9" s="68">
        <v>24.8</v>
      </c>
      <c r="G9" s="68"/>
      <c r="H9" s="68"/>
      <c r="I9" s="68"/>
      <c r="J9" s="68"/>
      <c r="K9" s="68"/>
      <c r="L9" s="68"/>
      <c r="M9" s="68"/>
      <c r="N9" s="14"/>
      <c r="P9" s="197" t="s">
        <v>54</v>
      </c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9"/>
    </row>
    <row r="10" spans="2:28" ht="20.100000000000001" customHeight="1" thickTop="1" thickBot="1" x14ac:dyDescent="0.25">
      <c r="B10" s="117" t="s">
        <v>64</v>
      </c>
      <c r="C10" s="121"/>
      <c r="D10" s="155"/>
      <c r="E10" s="155"/>
      <c r="F10" s="122"/>
      <c r="G10" s="122">
        <v>28.16</v>
      </c>
      <c r="H10" s="122"/>
      <c r="I10" s="122"/>
      <c r="J10" s="122"/>
      <c r="K10" s="122"/>
      <c r="L10" s="122"/>
      <c r="M10" s="122"/>
      <c r="N10" s="123"/>
      <c r="P10" s="18" t="s">
        <v>15</v>
      </c>
      <c r="Q10" s="4" t="s">
        <v>98</v>
      </c>
      <c r="R10" s="5" t="s">
        <v>99</v>
      </c>
      <c r="S10" s="5" t="s">
        <v>0</v>
      </c>
      <c r="T10" s="5" t="s">
        <v>2</v>
      </c>
      <c r="U10" s="5" t="s">
        <v>3</v>
      </c>
      <c r="V10" s="5" t="s">
        <v>4</v>
      </c>
      <c r="W10" s="5" t="s">
        <v>5</v>
      </c>
      <c r="X10" s="5" t="s">
        <v>6</v>
      </c>
      <c r="Y10" s="5" t="s">
        <v>7</v>
      </c>
      <c r="Z10" s="5" t="s">
        <v>8</v>
      </c>
      <c r="AA10" s="5" t="s">
        <v>9</v>
      </c>
      <c r="AB10" s="6" t="s">
        <v>10</v>
      </c>
    </row>
    <row r="11" spans="2:28" ht="20.100000000000001" customHeight="1" thickTop="1" x14ac:dyDescent="0.2">
      <c r="B11" s="117" t="s">
        <v>65</v>
      </c>
      <c r="C11" s="12"/>
      <c r="D11" s="13"/>
      <c r="E11" s="13"/>
      <c r="F11" s="68"/>
      <c r="G11" s="68"/>
      <c r="H11" s="68"/>
      <c r="I11" s="68"/>
      <c r="J11" s="68"/>
      <c r="K11" s="68"/>
      <c r="L11" s="68"/>
      <c r="M11" s="68"/>
      <c r="N11" s="14"/>
      <c r="P11" s="39" t="s">
        <v>45</v>
      </c>
      <c r="Q11" s="40">
        <v>0</v>
      </c>
      <c r="R11" s="41">
        <v>0</v>
      </c>
      <c r="S11" s="41">
        <v>75.900000000000006</v>
      </c>
      <c r="T11" s="41">
        <v>0</v>
      </c>
      <c r="U11" s="41"/>
      <c r="V11" s="41"/>
      <c r="W11" s="41"/>
      <c r="X11" s="41"/>
      <c r="Y11" s="41"/>
      <c r="Z11" s="41"/>
      <c r="AA11" s="41"/>
      <c r="AB11" s="42"/>
    </row>
    <row r="12" spans="2:28" ht="20.100000000000001" customHeight="1" x14ac:dyDescent="0.2">
      <c r="B12" s="117" t="s">
        <v>66</v>
      </c>
      <c r="C12" s="121">
        <f>1.3+19.07</f>
        <v>20.37</v>
      </c>
      <c r="D12" s="155"/>
      <c r="E12" s="155"/>
      <c r="F12" s="122">
        <v>11.96</v>
      </c>
      <c r="G12" s="122"/>
      <c r="H12" s="122"/>
      <c r="I12" s="122"/>
      <c r="J12" s="122"/>
      <c r="K12" s="122"/>
      <c r="L12" s="122"/>
      <c r="M12" s="122"/>
      <c r="N12" s="123"/>
      <c r="P12" s="43" t="s">
        <v>46</v>
      </c>
      <c r="Q12" s="44">
        <f>205+38.7+48</f>
        <v>291.7</v>
      </c>
      <c r="R12" s="76">
        <f>32.5</f>
        <v>32.5</v>
      </c>
      <c r="S12" s="76">
        <v>0</v>
      </c>
      <c r="T12" s="76">
        <v>100</v>
      </c>
      <c r="U12" s="76"/>
      <c r="V12" s="76"/>
      <c r="W12" s="76"/>
      <c r="X12" s="76"/>
      <c r="Y12" s="76"/>
      <c r="Z12" s="76"/>
      <c r="AA12" s="76"/>
      <c r="AB12" s="45"/>
    </row>
    <row r="13" spans="2:28" ht="20.100000000000001" customHeight="1" x14ac:dyDescent="0.2">
      <c r="B13" s="117" t="s">
        <v>67</v>
      </c>
      <c r="C13" s="12"/>
      <c r="D13" s="13"/>
      <c r="E13" s="13">
        <v>23.53</v>
      </c>
      <c r="F13" s="68">
        <v>1.35</v>
      </c>
      <c r="G13" s="68"/>
      <c r="H13" s="68"/>
      <c r="I13" s="68"/>
      <c r="J13" s="68"/>
      <c r="K13" s="68"/>
      <c r="L13" s="68"/>
      <c r="M13" s="68"/>
      <c r="N13" s="14"/>
      <c r="P13" s="83" t="s">
        <v>47</v>
      </c>
      <c r="Q13" s="84">
        <v>0</v>
      </c>
      <c r="R13" s="85">
        <v>0</v>
      </c>
      <c r="S13" s="85">
        <f>15.8+22.3+10+15.17</f>
        <v>63.27</v>
      </c>
      <c r="T13" s="85">
        <f>69.6+4.9+5.25+9+10+50.2+10.95+13+19+12.5</f>
        <v>204.39999999999998</v>
      </c>
      <c r="U13" s="85">
        <f>39.05+4.2</f>
        <v>43.25</v>
      </c>
      <c r="V13" s="85"/>
      <c r="W13" s="85"/>
      <c r="X13" s="85"/>
      <c r="Y13" s="85"/>
      <c r="Z13" s="85"/>
      <c r="AA13" s="85"/>
      <c r="AB13" s="86"/>
    </row>
    <row r="14" spans="2:28" ht="20.100000000000001" customHeight="1" x14ac:dyDescent="0.2">
      <c r="B14" s="117" t="s">
        <v>68</v>
      </c>
      <c r="C14" s="121"/>
      <c r="D14" s="155"/>
      <c r="E14" s="155"/>
      <c r="F14" s="122"/>
      <c r="G14" s="122"/>
      <c r="H14" s="122"/>
      <c r="I14" s="122"/>
      <c r="J14" s="122"/>
      <c r="K14" s="122"/>
      <c r="L14" s="122"/>
      <c r="M14" s="122"/>
      <c r="N14" s="123"/>
      <c r="P14" s="100" t="s">
        <v>95</v>
      </c>
      <c r="Q14" s="101">
        <f>9.95+1</f>
        <v>10.95</v>
      </c>
      <c r="R14" s="102">
        <f>10.35</f>
        <v>10.35</v>
      </c>
      <c r="S14" s="102">
        <f>10.7+12+0.35+1+15</f>
        <v>39.049999999999997</v>
      </c>
      <c r="T14" s="102">
        <f>10.6+13.4+0.3+7.5+4.8+10+0.75+0.95</f>
        <v>48.300000000000004</v>
      </c>
      <c r="U14" s="102">
        <f>0.4+8.5+10+8.5</f>
        <v>27.4</v>
      </c>
      <c r="V14" s="102"/>
      <c r="W14" s="102"/>
      <c r="X14" s="102"/>
      <c r="Y14" s="102"/>
      <c r="Z14" s="102"/>
      <c r="AA14" s="102"/>
      <c r="AB14" s="103"/>
    </row>
    <row r="15" spans="2:28" ht="20.100000000000001" customHeight="1" x14ac:dyDescent="0.2">
      <c r="B15" s="117" t="s">
        <v>69</v>
      </c>
      <c r="C15" s="12"/>
      <c r="D15" s="13"/>
      <c r="E15" s="13">
        <v>3</v>
      </c>
      <c r="F15" s="68">
        <v>22.8</v>
      </c>
      <c r="G15" s="68"/>
      <c r="H15" s="68"/>
      <c r="I15" s="68"/>
      <c r="J15" s="68"/>
      <c r="K15" s="68"/>
      <c r="L15" s="68"/>
      <c r="M15" s="68"/>
      <c r="N15" s="14"/>
      <c r="P15" s="104" t="s">
        <v>56</v>
      </c>
      <c r="Q15" s="105">
        <f>10+1.5</f>
        <v>11.5</v>
      </c>
      <c r="R15" s="106">
        <f>10+10.67+4.75+18.5+20+10+6+16.22</f>
        <v>96.14</v>
      </c>
      <c r="S15" s="106">
        <f>10+90+12+0.8+17+1+20</f>
        <v>150.80000000000001</v>
      </c>
      <c r="T15" s="106">
        <f>10+25+15.32+22+15</f>
        <v>87.32</v>
      </c>
      <c r="U15" s="106">
        <f>10+6.5+11+1.5</f>
        <v>29</v>
      </c>
      <c r="V15" s="106">
        <f>10</f>
        <v>10</v>
      </c>
      <c r="W15" s="106">
        <f>10</f>
        <v>10</v>
      </c>
      <c r="X15" s="106">
        <f>10</f>
        <v>10</v>
      </c>
      <c r="Y15" s="106">
        <f>10</f>
        <v>10</v>
      </c>
      <c r="Z15" s="106">
        <f>10</f>
        <v>10</v>
      </c>
      <c r="AA15" s="106">
        <f>10</f>
        <v>10</v>
      </c>
      <c r="AB15" s="107">
        <f>10</f>
        <v>10</v>
      </c>
    </row>
    <row r="16" spans="2:28" ht="20.100000000000001" customHeight="1" x14ac:dyDescent="0.2">
      <c r="B16" s="117" t="s">
        <v>70</v>
      </c>
      <c r="C16" s="121"/>
      <c r="D16" s="155">
        <v>8.0399999999999991</v>
      </c>
      <c r="E16" s="155">
        <f>12.59-3.12</f>
        <v>9.4699999999999989</v>
      </c>
      <c r="F16" s="122"/>
      <c r="G16" s="122"/>
      <c r="H16" s="122"/>
      <c r="I16" s="122"/>
      <c r="J16" s="122"/>
      <c r="K16" s="122"/>
      <c r="L16" s="122"/>
      <c r="M16" s="122"/>
      <c r="N16" s="123"/>
      <c r="P16" s="108" t="s">
        <v>57</v>
      </c>
      <c r="Q16" s="109">
        <f>13.88+15</f>
        <v>28.880000000000003</v>
      </c>
      <c r="R16" s="110">
        <v>0</v>
      </c>
      <c r="S16" s="110">
        <f>6.37+30.12+30.12+12.5</f>
        <v>79.11</v>
      </c>
      <c r="T16" s="110">
        <v>0</v>
      </c>
      <c r="U16" s="110"/>
      <c r="V16" s="110"/>
      <c r="W16" s="110"/>
      <c r="X16" s="110"/>
      <c r="Y16" s="110"/>
      <c r="Z16" s="110"/>
      <c r="AA16" s="110"/>
      <c r="AB16" s="111"/>
    </row>
    <row r="17" spans="2:28" ht="20.100000000000001" customHeight="1" x14ac:dyDescent="0.2">
      <c r="B17" s="117" t="s">
        <v>71</v>
      </c>
      <c r="C17" s="12"/>
      <c r="D17" s="13"/>
      <c r="E17" s="13"/>
      <c r="F17" s="68"/>
      <c r="G17" s="68"/>
      <c r="H17" s="68"/>
      <c r="I17" s="68"/>
      <c r="J17" s="68"/>
      <c r="K17" s="68"/>
      <c r="L17" s="68"/>
      <c r="M17" s="68"/>
      <c r="N17" s="14"/>
      <c r="O17" t="s">
        <v>94</v>
      </c>
      <c r="P17" s="131" t="s">
        <v>93</v>
      </c>
      <c r="Q17" s="132">
        <v>0</v>
      </c>
      <c r="R17" s="133">
        <v>0</v>
      </c>
      <c r="S17" s="133">
        <v>28.8</v>
      </c>
      <c r="T17" s="133">
        <v>0</v>
      </c>
      <c r="U17" s="133"/>
      <c r="V17" s="133"/>
      <c r="W17" s="133"/>
      <c r="X17" s="133"/>
      <c r="Y17" s="133"/>
      <c r="Z17" s="133"/>
      <c r="AA17" s="133"/>
      <c r="AB17" s="134"/>
    </row>
    <row r="18" spans="2:28" ht="20.100000000000001" customHeight="1" thickBot="1" x14ac:dyDescent="0.25">
      <c r="B18" s="117" t="s">
        <v>72</v>
      </c>
      <c r="C18" s="121">
        <f>10.76+27.69</f>
        <v>38.450000000000003</v>
      </c>
      <c r="D18" s="155"/>
      <c r="E18" s="155"/>
      <c r="F18" s="122"/>
      <c r="G18" s="122"/>
      <c r="H18" s="122"/>
      <c r="I18" s="122"/>
      <c r="J18" s="122"/>
      <c r="K18" s="122"/>
      <c r="L18" s="122"/>
      <c r="M18" s="122"/>
      <c r="N18" s="123"/>
      <c r="P18" s="87" t="s">
        <v>48</v>
      </c>
      <c r="Q18" s="88">
        <f>9+9+9+9+9+9+9+9+9</f>
        <v>81</v>
      </c>
      <c r="R18" s="89">
        <f>9+9+9+9+9+9+9+9</f>
        <v>72</v>
      </c>
      <c r="S18" s="89">
        <f>9+9+9+9+9+9+4.5+9+9+9+9+9</f>
        <v>103.5</v>
      </c>
      <c r="T18" s="89">
        <f>9+9+9+9+9+9+9+9+4.5+9</f>
        <v>85.5</v>
      </c>
      <c r="U18" s="89">
        <f>9+9+9+9</f>
        <v>36</v>
      </c>
      <c r="V18" s="89"/>
      <c r="W18" s="89"/>
      <c r="X18" s="89"/>
      <c r="Y18" s="89"/>
      <c r="Z18" s="89"/>
      <c r="AA18" s="89"/>
      <c r="AB18" s="90"/>
    </row>
    <row r="19" spans="2:28" ht="20.100000000000001" customHeight="1" thickTop="1" thickBot="1" x14ac:dyDescent="0.25">
      <c r="B19" s="117" t="s">
        <v>73</v>
      </c>
      <c r="C19" s="12">
        <v>1.3</v>
      </c>
      <c r="D19" s="13">
        <v>5</v>
      </c>
      <c r="E19" s="13"/>
      <c r="F19" s="68"/>
      <c r="G19" s="68"/>
      <c r="H19" s="68"/>
      <c r="I19" s="68"/>
      <c r="J19" s="68"/>
      <c r="K19" s="68"/>
      <c r="L19" s="68"/>
      <c r="M19" s="68"/>
      <c r="N19" s="14"/>
      <c r="P19" s="99" t="s">
        <v>1</v>
      </c>
      <c r="Q19" s="46">
        <f t="shared" ref="Q19:AB19" si="2">SUM(Q11:Q18)</f>
        <v>424.03</v>
      </c>
      <c r="R19" s="46">
        <f t="shared" si="2"/>
        <v>210.99</v>
      </c>
      <c r="S19" s="46">
        <f t="shared" si="2"/>
        <v>540.43000000000006</v>
      </c>
      <c r="T19" s="47">
        <f t="shared" si="2"/>
        <v>525.52</v>
      </c>
      <c r="U19" s="47">
        <f t="shared" si="2"/>
        <v>135.65</v>
      </c>
      <c r="V19" s="47">
        <f t="shared" si="2"/>
        <v>10</v>
      </c>
      <c r="W19" s="47">
        <f t="shared" si="2"/>
        <v>10</v>
      </c>
      <c r="X19" s="47">
        <f t="shared" si="2"/>
        <v>10</v>
      </c>
      <c r="Y19" s="47">
        <f t="shared" si="2"/>
        <v>10</v>
      </c>
      <c r="Z19" s="47">
        <f>SUM(Z11:Z18)</f>
        <v>10</v>
      </c>
      <c r="AA19" s="47">
        <f t="shared" si="2"/>
        <v>10</v>
      </c>
      <c r="AB19" s="48">
        <f t="shared" si="2"/>
        <v>10</v>
      </c>
    </row>
    <row r="20" spans="2:28" ht="20.100000000000001" customHeight="1" thickTop="1" x14ac:dyDescent="0.2">
      <c r="B20" s="117" t="s">
        <v>74</v>
      </c>
      <c r="C20" s="121"/>
      <c r="D20" s="155"/>
      <c r="E20" s="155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2:28" ht="20.100000000000001" customHeight="1" x14ac:dyDescent="0.2">
      <c r="B21" s="117" t="s">
        <v>75</v>
      </c>
      <c r="C21" s="12"/>
      <c r="D21" s="13"/>
      <c r="E21" s="13"/>
      <c r="F21" s="68"/>
      <c r="G21" s="68"/>
      <c r="H21" s="68"/>
      <c r="I21" s="68"/>
      <c r="J21" s="68"/>
      <c r="K21" s="68"/>
      <c r="L21" s="68"/>
      <c r="M21" s="68"/>
      <c r="N21" s="14"/>
    </row>
    <row r="22" spans="2:28" ht="20.100000000000001" customHeight="1" x14ac:dyDescent="0.2">
      <c r="B22" s="117" t="s">
        <v>76</v>
      </c>
      <c r="C22" s="121">
        <v>21.24</v>
      </c>
      <c r="D22" s="155"/>
      <c r="E22" s="155">
        <v>3</v>
      </c>
      <c r="F22" s="122">
        <v>1</v>
      </c>
      <c r="G22" s="122"/>
      <c r="H22" s="122"/>
      <c r="I22" s="122"/>
      <c r="J22" s="122"/>
      <c r="K22" s="122"/>
      <c r="L22" s="122"/>
      <c r="M22" s="122"/>
      <c r="N22" s="123"/>
    </row>
    <row r="23" spans="2:28" ht="20.100000000000001" customHeight="1" x14ac:dyDescent="0.2">
      <c r="B23" s="117" t="s">
        <v>77</v>
      </c>
      <c r="C23" s="12"/>
      <c r="D23" s="13"/>
      <c r="E23" s="13">
        <v>1.35</v>
      </c>
      <c r="F23" s="68"/>
      <c r="G23" s="68"/>
      <c r="H23" s="68"/>
      <c r="I23" s="68"/>
      <c r="J23" s="68"/>
      <c r="K23" s="68"/>
      <c r="L23" s="68"/>
      <c r="M23" s="68"/>
      <c r="N23" s="14"/>
    </row>
    <row r="24" spans="2:28" ht="20.100000000000001" customHeight="1" x14ac:dyDescent="0.2">
      <c r="B24" s="117" t="s">
        <v>78</v>
      </c>
      <c r="C24" s="121"/>
      <c r="D24" s="155"/>
      <c r="E24" s="155"/>
      <c r="F24" s="122"/>
      <c r="G24" s="122"/>
      <c r="H24" s="122"/>
      <c r="I24" s="122"/>
      <c r="J24" s="122"/>
      <c r="K24" s="122"/>
      <c r="L24" s="122"/>
      <c r="M24" s="122"/>
      <c r="N24" s="123"/>
    </row>
    <row r="25" spans="2:28" ht="20.100000000000001" customHeight="1" x14ac:dyDescent="0.2">
      <c r="B25" s="117" t="s">
        <v>79</v>
      </c>
      <c r="C25" s="12"/>
      <c r="D25" s="13"/>
      <c r="E25" s="13">
        <v>38.83</v>
      </c>
      <c r="F25" s="68"/>
      <c r="G25" s="68"/>
      <c r="H25" s="68"/>
      <c r="I25" s="68"/>
      <c r="J25" s="68"/>
      <c r="K25" s="68"/>
      <c r="L25" s="68"/>
      <c r="M25" s="68"/>
      <c r="N25" s="14"/>
    </row>
    <row r="26" spans="2:28" ht="20.100000000000001" customHeight="1" x14ac:dyDescent="0.2">
      <c r="B26" s="117" t="s">
        <v>80</v>
      </c>
      <c r="C26" s="121">
        <v>1.3</v>
      </c>
      <c r="D26" s="155"/>
      <c r="E26" s="155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28" ht="20.100000000000001" customHeight="1" x14ac:dyDescent="0.2">
      <c r="B27" s="117" t="s">
        <v>81</v>
      </c>
      <c r="C27" s="12">
        <v>19.96</v>
      </c>
      <c r="D27" s="13">
        <v>47.69</v>
      </c>
      <c r="E27" s="13"/>
      <c r="F27" s="68"/>
      <c r="G27" s="68"/>
      <c r="H27" s="68"/>
      <c r="I27" s="68"/>
      <c r="J27" s="68"/>
      <c r="K27" s="68"/>
      <c r="L27" s="68"/>
      <c r="M27" s="68"/>
      <c r="N27" s="14"/>
    </row>
    <row r="28" spans="2:28" ht="20.100000000000001" customHeight="1" x14ac:dyDescent="0.2">
      <c r="B28" s="117" t="s">
        <v>82</v>
      </c>
      <c r="C28" s="121"/>
      <c r="D28" s="155"/>
      <c r="E28" s="155"/>
      <c r="F28" s="122"/>
      <c r="G28" s="122"/>
      <c r="H28" s="122"/>
      <c r="I28" s="122"/>
      <c r="J28" s="122"/>
      <c r="K28" s="122"/>
      <c r="L28" s="122"/>
      <c r="M28" s="122"/>
      <c r="N28" s="123"/>
    </row>
    <row r="29" spans="2:28" ht="20.100000000000001" customHeight="1" x14ac:dyDescent="0.2">
      <c r="B29" s="117" t="s">
        <v>83</v>
      </c>
      <c r="C29" s="12"/>
      <c r="D29" s="13">
        <v>20.38</v>
      </c>
      <c r="E29" s="13">
        <v>3.8</v>
      </c>
      <c r="F29" s="68">
        <v>36.6</v>
      </c>
      <c r="G29" s="68"/>
      <c r="H29" s="68"/>
      <c r="I29" s="68"/>
      <c r="J29" s="68"/>
      <c r="K29" s="68"/>
      <c r="L29" s="68"/>
      <c r="M29" s="68"/>
      <c r="N29" s="14"/>
    </row>
    <row r="30" spans="2:28" ht="20.100000000000001" customHeight="1" x14ac:dyDescent="0.2">
      <c r="B30" s="117" t="s">
        <v>84</v>
      </c>
      <c r="C30" s="121"/>
      <c r="D30" s="155"/>
      <c r="E30" s="155"/>
      <c r="F30" s="122"/>
      <c r="G30" s="122"/>
      <c r="H30" s="122"/>
      <c r="I30" s="122"/>
      <c r="J30" s="122"/>
      <c r="K30" s="122"/>
      <c r="L30" s="122"/>
      <c r="M30" s="122"/>
      <c r="N30" s="123"/>
    </row>
    <row r="31" spans="2:28" ht="20.100000000000001" customHeight="1" x14ac:dyDescent="0.2">
      <c r="B31" s="117" t="s">
        <v>85</v>
      </c>
      <c r="C31" s="12"/>
      <c r="D31" s="13"/>
      <c r="E31" s="13"/>
      <c r="F31" s="68"/>
      <c r="G31" s="68"/>
      <c r="H31" s="68"/>
      <c r="I31" s="68"/>
      <c r="J31" s="68"/>
      <c r="K31" s="68"/>
      <c r="L31" s="68"/>
      <c r="M31" s="68"/>
      <c r="N31" s="14"/>
    </row>
    <row r="32" spans="2:28" ht="20.100000000000001" customHeight="1" thickBot="1" x14ac:dyDescent="0.25">
      <c r="B32" s="117" t="s">
        <v>86</v>
      </c>
      <c r="C32" s="121">
        <v>19.45</v>
      </c>
      <c r="D32" s="157"/>
      <c r="E32" s="155"/>
      <c r="F32" s="122">
        <v>7.27</v>
      </c>
      <c r="G32" s="122"/>
      <c r="H32" s="122"/>
      <c r="I32" s="122"/>
      <c r="J32" s="122"/>
      <c r="K32" s="122"/>
      <c r="L32" s="122"/>
      <c r="M32" s="122"/>
      <c r="N32" s="123"/>
    </row>
    <row r="33" spans="2:14" ht="20.100000000000001" customHeight="1" thickTop="1" thickBot="1" x14ac:dyDescent="0.25">
      <c r="B33" s="117" t="s">
        <v>87</v>
      </c>
      <c r="C33" s="12">
        <v>1.3</v>
      </c>
      <c r="D33" s="157"/>
      <c r="E33" s="13"/>
      <c r="F33" s="68"/>
      <c r="G33" s="68"/>
      <c r="H33" s="68"/>
      <c r="I33" s="68"/>
      <c r="J33" s="68"/>
      <c r="K33" s="68"/>
      <c r="L33" s="68"/>
      <c r="M33" s="68"/>
      <c r="N33" s="14"/>
    </row>
    <row r="34" spans="2:14" ht="20.100000000000001" customHeight="1" thickTop="1" thickBot="1" x14ac:dyDescent="0.25">
      <c r="B34" s="117" t="s">
        <v>88</v>
      </c>
      <c r="C34" s="156"/>
      <c r="D34" s="157"/>
      <c r="E34" s="158">
        <v>21.97</v>
      </c>
      <c r="F34" s="126"/>
      <c r="G34" s="122"/>
      <c r="H34" s="126"/>
      <c r="I34" s="122"/>
      <c r="J34" s="122"/>
      <c r="K34" s="126"/>
      <c r="L34" s="122"/>
      <c r="M34" s="126"/>
      <c r="N34" s="123"/>
    </row>
    <row r="35" spans="2:14" ht="20.100000000000001" customHeight="1" thickTop="1" thickBot="1" x14ac:dyDescent="0.25">
      <c r="B35" s="99" t="s">
        <v>1</v>
      </c>
      <c r="C35" s="46">
        <f t="shared" ref="C35:N35" si="3">SUM(C4:C34)</f>
        <v>138.70999999999998</v>
      </c>
      <c r="D35" s="47">
        <f t="shared" si="3"/>
        <v>83.71</v>
      </c>
      <c r="E35" s="47">
        <f t="shared" si="3"/>
        <v>119.86</v>
      </c>
      <c r="F35" s="47">
        <f t="shared" si="3"/>
        <v>105.78000000000002</v>
      </c>
      <c r="G35" s="47">
        <f t="shared" si="3"/>
        <v>34.76</v>
      </c>
      <c r="H35" s="47">
        <f t="shared" si="3"/>
        <v>0</v>
      </c>
      <c r="I35" s="47">
        <f t="shared" si="3"/>
        <v>0</v>
      </c>
      <c r="J35" s="47">
        <f t="shared" si="3"/>
        <v>0</v>
      </c>
      <c r="K35" s="47">
        <f t="shared" si="3"/>
        <v>0</v>
      </c>
      <c r="L35" s="47">
        <f t="shared" si="3"/>
        <v>0</v>
      </c>
      <c r="M35" s="47">
        <f t="shared" si="3"/>
        <v>0</v>
      </c>
      <c r="N35" s="48">
        <f t="shared" si="3"/>
        <v>0</v>
      </c>
    </row>
    <row r="36" spans="2:14" ht="13.5" thickTop="1" x14ac:dyDescent="0.2">
      <c r="B36" s="3"/>
    </row>
  </sheetData>
  <mergeCells count="3">
    <mergeCell ref="B2:N2"/>
    <mergeCell ref="P2:AB2"/>
    <mergeCell ref="P9:AB9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CC81-40F0-476F-9980-66C40014EC2E}">
  <sheetPr>
    <tabColor rgb="FF7030A0"/>
  </sheetPr>
  <dimension ref="B1:AB12"/>
  <sheetViews>
    <sheetView tabSelected="1" zoomScale="87" zoomScaleNormal="87" workbookViewId="0">
      <selection activeCell="P11" sqref="P11"/>
    </sheetView>
  </sheetViews>
  <sheetFormatPr defaultRowHeight="12.75" x14ac:dyDescent="0.2"/>
  <cols>
    <col min="1" max="1" width="1.7109375" customWidth="1"/>
    <col min="2" max="2" width="23" customWidth="1"/>
    <col min="3" max="14" width="10.28515625" customWidth="1"/>
    <col min="15" max="15" width="1.7109375" customWidth="1"/>
    <col min="16" max="16" width="18.7109375" customWidth="1"/>
    <col min="17" max="17" width="11.140625" customWidth="1"/>
    <col min="18" max="19" width="10.28515625" customWidth="1"/>
    <col min="20" max="20" width="11.28515625" bestFit="1" customWidth="1"/>
    <col min="21" max="28" width="11" bestFit="1" customWidth="1"/>
  </cols>
  <sheetData>
    <row r="1" spans="2:28" ht="9.9499999999999993" customHeight="1" thickBot="1" x14ac:dyDescent="0.25"/>
    <row r="2" spans="2:28" ht="22.5" customHeight="1" thickTop="1" thickBot="1" x14ac:dyDescent="0.25">
      <c r="B2" s="200" t="s">
        <v>29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  <c r="P2" s="203" t="s">
        <v>49</v>
      </c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5"/>
    </row>
    <row r="3" spans="2:28" ht="22.5" customHeight="1" thickTop="1" thickBot="1" x14ac:dyDescent="0.25">
      <c r="B3" s="18" t="s">
        <v>15</v>
      </c>
      <c r="C3" s="4" t="s">
        <v>98</v>
      </c>
      <c r="D3" s="5" t="s">
        <v>99</v>
      </c>
      <c r="E3" s="5" t="s">
        <v>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6" t="s">
        <v>10</v>
      </c>
      <c r="P3" s="149" t="s">
        <v>15</v>
      </c>
      <c r="Q3" s="4" t="s">
        <v>98</v>
      </c>
      <c r="R3" s="5" t="s">
        <v>99</v>
      </c>
      <c r="S3" s="5" t="s">
        <v>0</v>
      </c>
      <c r="T3" s="5" t="s">
        <v>2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8</v>
      </c>
      <c r="AA3" s="5" t="s">
        <v>9</v>
      </c>
      <c r="AB3" s="6" t="s">
        <v>10</v>
      </c>
    </row>
    <row r="4" spans="2:28" ht="22.5" customHeight="1" thickTop="1" x14ac:dyDescent="0.2">
      <c r="B4" s="135" t="s">
        <v>52</v>
      </c>
      <c r="C4" s="69">
        <f>'Santander &amp; Condomínio'!C8</f>
        <v>297.19666666666666</v>
      </c>
      <c r="D4" s="69">
        <f>'Santander &amp; Condomínio'!D8</f>
        <v>297.19666666666666</v>
      </c>
      <c r="E4" s="69">
        <f>'Santander &amp; Condomínio'!E8</f>
        <v>297.19666666666666</v>
      </c>
      <c r="F4" s="69">
        <f>'Santander &amp; Condomínio'!F8</f>
        <v>297.19666666666666</v>
      </c>
      <c r="G4" s="69">
        <f>'Santander &amp; Condomínio'!G8</f>
        <v>297.19666666666666</v>
      </c>
      <c r="H4" s="69">
        <f>'Santander &amp; Condomínio'!H8</f>
        <v>297.19666666666666</v>
      </c>
      <c r="I4" s="69">
        <f>'Santander &amp; Condomínio'!I8</f>
        <v>297.19666666666666</v>
      </c>
      <c r="J4" s="69">
        <f>'Santander &amp; Condomínio'!J8</f>
        <v>297.19666666666666</v>
      </c>
      <c r="K4" s="69">
        <f>'Santander &amp; Condomínio'!K8</f>
        <v>297.19666666666666</v>
      </c>
      <c r="L4" s="69">
        <f>'Santander &amp; Condomínio'!L8</f>
        <v>297.19666666666666</v>
      </c>
      <c r="M4" s="69">
        <f>'Santander &amp; Condomínio'!M8</f>
        <v>297.19666666666666</v>
      </c>
      <c r="N4" s="71">
        <f>'Santander &amp; Condomínio'!N8</f>
        <v>297.19666666666666</v>
      </c>
      <c r="P4" s="161" t="s">
        <v>50</v>
      </c>
      <c r="Q4" s="69">
        <f>1557.47+160.23</f>
        <v>1717.7</v>
      </c>
      <c r="R4" s="69">
        <f>1557.64+61.04</f>
        <v>1618.68</v>
      </c>
      <c r="S4" s="69">
        <f>1274.23+106.82</f>
        <v>1381.05</v>
      </c>
      <c r="T4" s="69">
        <f>2624.47+137.34</f>
        <v>2761.81</v>
      </c>
      <c r="U4" s="69"/>
      <c r="V4" s="69"/>
      <c r="W4" s="69"/>
      <c r="X4" s="69"/>
      <c r="Y4" s="69"/>
      <c r="Z4" s="69"/>
      <c r="AA4" s="69"/>
      <c r="AB4" s="71"/>
    </row>
    <row r="5" spans="2:28" ht="22.5" customHeight="1" x14ac:dyDescent="0.2">
      <c r="B5" s="136" t="s">
        <v>42</v>
      </c>
      <c r="C5" s="55">
        <f>'Água &amp; MEO'!Q8</f>
        <v>66.2</v>
      </c>
      <c r="D5" s="55">
        <f>'Água &amp; MEO'!R8</f>
        <v>62.23</v>
      </c>
      <c r="E5" s="55">
        <f>'Água &amp; MEO'!S8</f>
        <v>71.83</v>
      </c>
      <c r="F5" s="55">
        <f>'Água &amp; MEO'!T8</f>
        <v>89.77</v>
      </c>
      <c r="G5" s="55">
        <f>'Água &amp; MEO'!U8</f>
        <v>47.39</v>
      </c>
      <c r="H5" s="55">
        <f>'Água &amp; MEO'!V8</f>
        <v>0</v>
      </c>
      <c r="I5" s="55">
        <f>'Água &amp; MEO'!W8</f>
        <v>0</v>
      </c>
      <c r="J5" s="55">
        <f>'Água &amp; MEO'!X8</f>
        <v>0</v>
      </c>
      <c r="K5" s="55">
        <f>'Água &amp; MEO'!Y8</f>
        <v>0</v>
      </c>
      <c r="L5" s="55">
        <f>'Água &amp; MEO'!Z8</f>
        <v>0</v>
      </c>
      <c r="M5" s="55">
        <f>'Água &amp; MEO'!AA8</f>
        <v>0</v>
      </c>
      <c r="N5" s="56">
        <f>'Água &amp; MEO'!AB8</f>
        <v>0</v>
      </c>
      <c r="P5" s="162" t="s">
        <v>91</v>
      </c>
      <c r="Q5" s="112">
        <f>150-6.45+200+30+5</f>
        <v>378.55</v>
      </c>
      <c r="R5" s="112">
        <f>150-7+5</f>
        <v>148</v>
      </c>
      <c r="S5" s="112">
        <f>150-16.65+5+15</f>
        <v>153.35</v>
      </c>
      <c r="T5" s="112">
        <f>150-11.9-7.5+479.27+20+828.3+115</f>
        <v>1573.17</v>
      </c>
      <c r="U5" s="112">
        <f>100-38</f>
        <v>62</v>
      </c>
      <c r="V5" s="112"/>
      <c r="W5" s="112"/>
      <c r="X5" s="112"/>
      <c r="Y5" s="112"/>
      <c r="Z5" s="112"/>
      <c r="AA5" s="112"/>
      <c r="AB5" s="113"/>
    </row>
    <row r="6" spans="2:28" ht="22.5" customHeight="1" thickBot="1" x14ac:dyDescent="0.25">
      <c r="B6" s="137" t="s">
        <v>36</v>
      </c>
      <c r="C6" s="74">
        <f>'Supermercado &amp; 308 &amp; Overall'!C35</f>
        <v>138.70999999999998</v>
      </c>
      <c r="D6" s="74">
        <f>'Supermercado &amp; 308 &amp; Overall'!D35</f>
        <v>83.71</v>
      </c>
      <c r="E6" s="74">
        <f>'Supermercado &amp; 308 &amp; Overall'!E35</f>
        <v>119.86</v>
      </c>
      <c r="F6" s="74">
        <f>'Supermercado &amp; 308 &amp; Overall'!F35</f>
        <v>105.78000000000002</v>
      </c>
      <c r="G6" s="74">
        <f>'Supermercado &amp; 308 &amp; Overall'!G35</f>
        <v>34.76</v>
      </c>
      <c r="H6" s="74">
        <f>'Supermercado &amp; 308 &amp; Overall'!H35</f>
        <v>0</v>
      </c>
      <c r="I6" s="74">
        <f>'Supermercado &amp; 308 &amp; Overall'!I35</f>
        <v>0</v>
      </c>
      <c r="J6" s="74">
        <f>'Supermercado &amp; 308 &amp; Overall'!J35</f>
        <v>0</v>
      </c>
      <c r="K6" s="74">
        <f>'Supermercado &amp; 308 &amp; Overall'!K35</f>
        <v>0</v>
      </c>
      <c r="L6" s="74">
        <f>'Supermercado &amp; 308 &amp; Overall'!L35</f>
        <v>0</v>
      </c>
      <c r="M6" s="74">
        <f>'Supermercado &amp; 308 &amp; Overall'!M35</f>
        <v>0</v>
      </c>
      <c r="N6" s="75">
        <f>'Supermercado &amp; 308 &amp; Overall'!N35</f>
        <v>0</v>
      </c>
      <c r="P6" s="163" t="s">
        <v>29</v>
      </c>
      <c r="Q6" s="124">
        <f>C11</f>
        <v>1041.6666666666665</v>
      </c>
      <c r="R6" s="124">
        <f>D11</f>
        <v>825.29666666666662</v>
      </c>
      <c r="S6" s="124">
        <f t="shared" ref="S6:AA6" si="0">E11</f>
        <v>1243.7366666666667</v>
      </c>
      <c r="T6" s="124">
        <f t="shared" si="0"/>
        <v>1188.6066666666668</v>
      </c>
      <c r="U6" s="124">
        <f t="shared" si="0"/>
        <v>873.34666666666658</v>
      </c>
      <c r="V6" s="124">
        <f t="shared" si="0"/>
        <v>319.37666666666667</v>
      </c>
      <c r="W6" s="124">
        <f t="shared" si="0"/>
        <v>307.19666666666666</v>
      </c>
      <c r="X6" s="124">
        <f t="shared" si="0"/>
        <v>307.19666666666666</v>
      </c>
      <c r="Y6" s="124">
        <f t="shared" si="0"/>
        <v>307.19666666666666</v>
      </c>
      <c r="Z6" s="124">
        <f t="shared" si="0"/>
        <v>307.19666666666666</v>
      </c>
      <c r="AA6" s="124">
        <f t="shared" si="0"/>
        <v>307.19666666666666</v>
      </c>
      <c r="AB6" s="125">
        <f>N11</f>
        <v>307.19666666666666</v>
      </c>
    </row>
    <row r="7" spans="2:28" ht="22.5" customHeight="1" thickTop="1" thickBot="1" x14ac:dyDescent="0.25">
      <c r="B7" s="138" t="s">
        <v>43</v>
      </c>
      <c r="C7" s="81">
        <f>'Supermercado &amp; 308 &amp; Overall'!Q7</f>
        <v>65.319999999999993</v>
      </c>
      <c r="D7" s="81">
        <f>'Supermercado &amp; 308 &amp; Overall'!R7</f>
        <v>114.25</v>
      </c>
      <c r="E7" s="81">
        <f>'Supermercado &amp; 308 &amp; Overall'!S7</f>
        <v>165.14</v>
      </c>
      <c r="F7" s="81">
        <f>'Supermercado &amp; 308 &amp; Overall'!T7</f>
        <v>118.08000000000001</v>
      </c>
      <c r="G7" s="81">
        <f>'Supermercado &amp; 308 &amp; Overall'!U7</f>
        <v>307.92</v>
      </c>
      <c r="H7" s="81">
        <f>'Supermercado &amp; 308 &amp; Overall'!V7</f>
        <v>0</v>
      </c>
      <c r="I7" s="81">
        <f>'Supermercado &amp; 308 &amp; Overall'!W7</f>
        <v>0</v>
      </c>
      <c r="J7" s="81">
        <f>'Supermercado &amp; 308 &amp; Overall'!X7</f>
        <v>0</v>
      </c>
      <c r="K7" s="81">
        <f>'Supermercado &amp; 308 &amp; Overall'!Y7</f>
        <v>0</v>
      </c>
      <c r="L7" s="81">
        <f>'Supermercado &amp; 308 &amp; Overall'!Z7</f>
        <v>0</v>
      </c>
      <c r="M7" s="81">
        <f>'Supermercado &amp; 308 &amp; Overall'!AA7</f>
        <v>0</v>
      </c>
      <c r="N7" s="82">
        <f>'Supermercado &amp; 308 &amp; Overall'!AB7</f>
        <v>0</v>
      </c>
      <c r="P7" s="143" t="s">
        <v>51</v>
      </c>
      <c r="Q7" s="114">
        <f t="shared" ref="Q7:R7" si="1">Q4+Q5-Q6</f>
        <v>1054.5833333333335</v>
      </c>
      <c r="R7" s="114">
        <f t="shared" si="1"/>
        <v>941.38333333333344</v>
      </c>
      <c r="S7" s="114">
        <f>S4+S5-S6</f>
        <v>290.66333333333318</v>
      </c>
      <c r="T7" s="114">
        <f t="shared" ref="T7:AB7" si="2">T4+T5-T6</f>
        <v>3146.373333333333</v>
      </c>
      <c r="U7" s="114">
        <f t="shared" si="2"/>
        <v>-811.34666666666658</v>
      </c>
      <c r="V7" s="114">
        <f t="shared" si="2"/>
        <v>-319.37666666666667</v>
      </c>
      <c r="W7" s="114">
        <f t="shared" si="2"/>
        <v>-307.19666666666666</v>
      </c>
      <c r="X7" s="114">
        <f t="shared" si="2"/>
        <v>-307.19666666666666</v>
      </c>
      <c r="Y7" s="114">
        <f t="shared" si="2"/>
        <v>-307.19666666666666</v>
      </c>
      <c r="Z7" s="114">
        <f t="shared" si="2"/>
        <v>-307.19666666666666</v>
      </c>
      <c r="AA7" s="114">
        <f t="shared" si="2"/>
        <v>-307.19666666666666</v>
      </c>
      <c r="AB7" s="115">
        <f t="shared" si="2"/>
        <v>-307.19666666666666</v>
      </c>
    </row>
    <row r="8" spans="2:28" ht="22.5" customHeight="1" thickTop="1" thickBot="1" x14ac:dyDescent="0.25">
      <c r="B8" s="139" t="s">
        <v>55</v>
      </c>
      <c r="C8" s="91">
        <f>'Supermercado &amp; 308 &amp; Overall'!Q19</f>
        <v>424.03</v>
      </c>
      <c r="D8" s="91">
        <f>'Supermercado &amp; 308 &amp; Overall'!R19</f>
        <v>210.99</v>
      </c>
      <c r="E8" s="91">
        <f>'Supermercado &amp; 308 &amp; Overall'!S19</f>
        <v>540.43000000000006</v>
      </c>
      <c r="F8" s="91">
        <f>'Supermercado &amp; 308 &amp; Overall'!T19</f>
        <v>525.52</v>
      </c>
      <c r="G8" s="91">
        <f>'Supermercado &amp; 308 &amp; Overall'!U19</f>
        <v>135.65</v>
      </c>
      <c r="H8" s="91">
        <f>'Supermercado &amp; 308 &amp; Overall'!V19</f>
        <v>10</v>
      </c>
      <c r="I8" s="91">
        <f>'Supermercado &amp; 308 &amp; Overall'!W19</f>
        <v>10</v>
      </c>
      <c r="J8" s="91">
        <f>'Supermercado &amp; 308 &amp; Overall'!X19</f>
        <v>10</v>
      </c>
      <c r="K8" s="91">
        <f>'Supermercado &amp; 308 &amp; Overall'!Y19</f>
        <v>10</v>
      </c>
      <c r="L8" s="91">
        <f>'Supermercado &amp; 308 &amp; Overall'!Z19</f>
        <v>10</v>
      </c>
      <c r="M8" s="91">
        <f>'Supermercado &amp; 308 &amp; Overall'!AA19</f>
        <v>10</v>
      </c>
      <c r="N8" s="92">
        <f>'Supermercado &amp; 308 &amp; Overall'!AB19</f>
        <v>10</v>
      </c>
      <c r="P8" s="164" t="s">
        <v>90</v>
      </c>
      <c r="Q8" s="172">
        <v>9043.56</v>
      </c>
      <c r="R8" s="114">
        <f t="shared" ref="R8" si="3">Q7+R7</f>
        <v>1995.9666666666669</v>
      </c>
      <c r="S8" s="114">
        <f>R8+S7</f>
        <v>2286.63</v>
      </c>
      <c r="T8" s="114">
        <f>S8+T7</f>
        <v>5433.0033333333331</v>
      </c>
      <c r="U8" s="114">
        <f t="shared" ref="U8:AB8" si="4">T8+U7</f>
        <v>4621.6566666666668</v>
      </c>
      <c r="V8" s="114">
        <f t="shared" si="4"/>
        <v>4302.28</v>
      </c>
      <c r="W8" s="114">
        <f t="shared" si="4"/>
        <v>3995.083333333333</v>
      </c>
      <c r="X8" s="114">
        <f t="shared" si="4"/>
        <v>3687.8866666666663</v>
      </c>
      <c r="Y8" s="114">
        <f t="shared" si="4"/>
        <v>3380.6899999999996</v>
      </c>
      <c r="Z8" s="114">
        <f t="shared" si="4"/>
        <v>3073.4933333333329</v>
      </c>
      <c r="AA8" s="114">
        <f t="shared" si="4"/>
        <v>2766.2966666666662</v>
      </c>
      <c r="AB8" s="115">
        <f t="shared" si="4"/>
        <v>2459.0999999999995</v>
      </c>
    </row>
    <row r="9" spans="2:28" ht="22.5" customHeight="1" thickTop="1" x14ac:dyDescent="0.2">
      <c r="B9" s="140" t="s">
        <v>89</v>
      </c>
      <c r="C9" s="70">
        <f>'Luz &amp; Gás (EDP)'!C9</f>
        <v>38.22</v>
      </c>
      <c r="D9" s="70">
        <f>'Luz &amp; Gás (EDP)'!D9</f>
        <v>46.150000000000006</v>
      </c>
      <c r="E9" s="70">
        <f>'Luz &amp; Gás (EDP)'!E9</f>
        <v>36.72</v>
      </c>
      <c r="F9" s="70">
        <f>'Luz &amp; Gás (EDP)'!F9</f>
        <v>41.47</v>
      </c>
      <c r="G9" s="70">
        <f>'Luz &amp; Gás (EDP)'!G9</f>
        <v>37.39</v>
      </c>
      <c r="H9" s="70">
        <f>'Luz &amp; Gás (EDP)'!H9</f>
        <v>0</v>
      </c>
      <c r="I9" s="70">
        <f>'Luz &amp; Gás (EDP)'!I9</f>
        <v>0</v>
      </c>
      <c r="J9" s="70">
        <f>'Luz &amp; Gás (EDP)'!J9</f>
        <v>0</v>
      </c>
      <c r="K9" s="70">
        <f>'Luz &amp; Gás (EDP)'!K9</f>
        <v>0</v>
      </c>
      <c r="L9" s="70">
        <f>'Luz &amp; Gás (EDP)'!L9</f>
        <v>0</v>
      </c>
      <c r="M9" s="70">
        <f>'Luz &amp; Gás (EDP)'!M9</f>
        <v>0</v>
      </c>
      <c r="N9" s="72">
        <f>'Luz &amp; Gás (EDP)'!N9</f>
        <v>0</v>
      </c>
    </row>
    <row r="10" spans="2:28" ht="22.5" customHeight="1" thickBot="1" x14ac:dyDescent="0.25">
      <c r="B10" s="141" t="s">
        <v>28</v>
      </c>
      <c r="C10" s="97">
        <f>'Água &amp; MEO'!C8</f>
        <v>11.989999999999998</v>
      </c>
      <c r="D10" s="97">
        <f>'Água &amp; MEO'!D8</f>
        <v>10.77</v>
      </c>
      <c r="E10" s="97">
        <f>'Água &amp; MEO'!E8</f>
        <v>12.560000000000002</v>
      </c>
      <c r="F10" s="97">
        <f>'Água &amp; MEO'!F8</f>
        <v>10.79</v>
      </c>
      <c r="G10" s="97">
        <f>'Água &amp; MEO'!G8</f>
        <v>13.040000000000001</v>
      </c>
      <c r="H10" s="97">
        <f>'Água &amp; MEO'!H8</f>
        <v>12.18</v>
      </c>
      <c r="I10" s="97">
        <f>'Água &amp; MEO'!I8</f>
        <v>0</v>
      </c>
      <c r="J10" s="97">
        <f>'Água &amp; MEO'!J8</f>
        <v>0</v>
      </c>
      <c r="K10" s="97">
        <f>'Água &amp; MEO'!K8</f>
        <v>0</v>
      </c>
      <c r="L10" s="97">
        <f>'Água &amp; MEO'!L8</f>
        <v>0</v>
      </c>
      <c r="M10" s="97">
        <f>'Água &amp; MEO'!M8</f>
        <v>0</v>
      </c>
      <c r="N10" s="98">
        <f>'Água &amp; MEO'!N8</f>
        <v>0</v>
      </c>
    </row>
    <row r="11" spans="2:28" ht="22.5" customHeight="1" thickTop="1" thickBot="1" x14ac:dyDescent="0.25">
      <c r="B11" s="99" t="s">
        <v>1</v>
      </c>
      <c r="C11" s="47">
        <f t="shared" ref="C11:D11" si="5">SUM(C4:C10)</f>
        <v>1041.6666666666665</v>
      </c>
      <c r="D11" s="47">
        <f t="shared" si="5"/>
        <v>825.29666666666662</v>
      </c>
      <c r="E11" s="47">
        <f>SUM(E4:E10)</f>
        <v>1243.7366666666667</v>
      </c>
      <c r="F11" s="47">
        <f t="shared" ref="F11:N11" si="6">SUM(F4:F10)</f>
        <v>1188.6066666666668</v>
      </c>
      <c r="G11" s="47">
        <f t="shared" si="6"/>
        <v>873.34666666666658</v>
      </c>
      <c r="H11" s="47">
        <f t="shared" si="6"/>
        <v>319.37666666666667</v>
      </c>
      <c r="I11" s="47">
        <f t="shared" si="6"/>
        <v>307.19666666666666</v>
      </c>
      <c r="J11" s="47">
        <f t="shared" si="6"/>
        <v>307.19666666666666</v>
      </c>
      <c r="K11" s="47">
        <f t="shared" si="6"/>
        <v>307.19666666666666</v>
      </c>
      <c r="L11" s="47">
        <f t="shared" si="6"/>
        <v>307.19666666666666</v>
      </c>
      <c r="M11" s="47">
        <f t="shared" si="6"/>
        <v>307.19666666666666</v>
      </c>
      <c r="N11" s="48">
        <f t="shared" si="6"/>
        <v>307.19666666666666</v>
      </c>
    </row>
    <row r="12" spans="2:28" ht="20.100000000000001" customHeight="1" thickTop="1" x14ac:dyDescent="0.2">
      <c r="B12" s="3"/>
      <c r="C12" s="3"/>
      <c r="D12" s="3"/>
    </row>
  </sheetData>
  <mergeCells count="2">
    <mergeCell ref="B2:N2"/>
    <mergeCell ref="P2:AB2"/>
  </mergeCells>
  <conditionalFormatting sqref="Q7:AB7 R8:AB8">
    <cfRule type="cellIs" dxfId="2" priority="1" operator="lessThan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Luz &amp; Gás (EDP)</vt:lpstr>
      <vt:lpstr>Água &amp; MEO</vt:lpstr>
      <vt:lpstr>Santander &amp; Condomínio</vt:lpstr>
      <vt:lpstr>Supermercado &amp; 308 &amp; Overall</vt:lpstr>
      <vt:lpstr>TOTAL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Carvalho Pedro (BrgP/END)</dc:creator>
  <cp:lastModifiedBy>Pedro Carvalho</cp:lastModifiedBy>
  <dcterms:created xsi:type="dcterms:W3CDTF">2019-09-30T13:16:50Z</dcterms:created>
  <dcterms:modified xsi:type="dcterms:W3CDTF">2022-05-10T23:39:51Z</dcterms:modified>
</cp:coreProperties>
</file>